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firstSheet="10" activeTab="24"/>
  </bookViews>
  <sheets>
    <sheet name="2015-1" sheetId="1" r:id="rId1"/>
    <sheet name="Л.33" sheetId="2" r:id="rId2"/>
    <sheet name="Л.37" sheetId="3" r:id="rId3"/>
    <sheet name="Л. 39" sheetId="4" r:id="rId4"/>
    <sheet name="Л.41" sheetId="5" r:id="rId5"/>
    <sheet name="Л.43" sheetId="6" r:id="rId6"/>
    <sheet name="Л.45" sheetId="7" r:id="rId7"/>
    <sheet name="Л.47" sheetId="8" r:id="rId8"/>
    <sheet name="Л.51" sheetId="9" r:id="rId9"/>
    <sheet name="Л.53" sheetId="10" r:id="rId10"/>
    <sheet name="Л.57" sheetId="11" r:id="rId11"/>
    <sheet name="Л.59" sheetId="12" r:id="rId12"/>
    <sheet name="Л.61" sheetId="13" r:id="rId13"/>
    <sheet name="Л.65" sheetId="14" r:id="rId14"/>
    <sheet name="Пр.27 1" sheetId="15" r:id="rId15"/>
    <sheet name="Пр.29 1" sheetId="16" r:id="rId16"/>
    <sheet name="Пр.31 1" sheetId="17" r:id="rId17"/>
    <sheet name="Л.4" sheetId="18" r:id="rId18"/>
    <sheet name="Л.6" sheetId="19" r:id="rId19"/>
    <sheet name="Л.8" sheetId="20" r:id="rId20"/>
    <sheet name="Л.10" sheetId="21" r:id="rId21"/>
    <sheet name="Л.12" sheetId="22" r:id="rId22"/>
    <sheet name="П.23" sheetId="23" r:id="rId23"/>
    <sheet name="П.25" sheetId="24" r:id="rId24"/>
    <sheet name="Б.19а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<sst xmlns="http://schemas.openxmlformats.org/spreadsheetml/2006/main" count="2260" uniqueCount="113">
  <si>
    <t>Утвержден</t>
  </si>
  <si>
    <t>решением общего собрания собственников помещений</t>
  </si>
  <si>
    <t>в многоквартирном доме</t>
  </si>
  <si>
    <t>протокол № ___ от ____________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</si>
  <si>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</si>
  <si>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</si>
  <si>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</si>
  <si>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</si>
  <si>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</si>
  <si>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</si>
  <si>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от " ___ "________________ г.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</si>
  <si>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</si>
  <si>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</si>
  <si>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</si>
  <si>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</si>
  <si>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</si>
  <si>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</si>
  <si>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</si>
  <si>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</si>
  <si>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</si>
  <si>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</si>
  <si>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</si>
  <si>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</si>
  <si>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</si>
  <si>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</si>
  <si>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</si>
  <si>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</si>
  <si>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</si>
  <si>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</si>
  <si>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</si>
  <si>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</si>
  <si>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</si>
  <si>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</si>
  <si>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</si>
  <si>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</si>
  <si>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</si>
  <si>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</si>
  <si>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</si>
  <si>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</si>
  <si>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</si>
  <si>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</si>
  <si>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</si>
  <si>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</si>
  <si>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r>
      <t xml:space="preserve">Услуги по управлению многоквартирным домом
</t>
    </r>
    <r>
      <rPr>
        <sz val="8"/>
        <rFont val="Times New Roman"/>
        <family val="1"/>
      </rPr>
      <t>(в соответствии с перечнем, установленным в п.4 Стандартов управления многоквартирным домом)</t>
    </r>
  </si>
  <si>
    <t>3.24</t>
  </si>
  <si>
    <t>1. Перечень работ, услуг по управлению многоквартирным домом и содержанию общего имущества в многоквартирном доме</t>
  </si>
  <si>
    <t>5</t>
  </si>
  <si>
    <t>Обслужавание системы ограниченного доступа «домофон» с абонентским устройством</t>
  </si>
  <si>
    <t>5.1</t>
  </si>
  <si>
    <t>Обслужавание системы ограниченного доступа «домофон» без абонентского устройства</t>
  </si>
  <si>
    <t>стоимость с квартиры</t>
  </si>
  <si>
    <t>г. Когалым</t>
  </si>
  <si>
    <t>постоянно</t>
  </si>
  <si>
    <t>ежедневно</t>
  </si>
  <si>
    <t>по мере необходимости</t>
  </si>
  <si>
    <t>по необходимости, но не реже 1 раз в год</t>
  </si>
  <si>
    <t>1 раз в год при подготовке к ОЗП</t>
  </si>
  <si>
    <t xml:space="preserve">1 раз в год </t>
  </si>
  <si>
    <t>1 раз в день</t>
  </si>
  <si>
    <t>6 раз в неделю</t>
  </si>
  <si>
    <t>Работы, выполняемые в целях надлежащего содержания лифта (лифтов)</t>
  </si>
  <si>
    <t>Работы, выполняемые в целях надлежащего содержания лестниц</t>
  </si>
  <si>
    <t>Работы, выполняемые в целях надлежащего содержания перегородок</t>
  </si>
  <si>
    <t>Работы, выполняемые в целях надлежащего содержания внутренней отделки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</si>
  <si>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</si>
  <si>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3.4</t>
  </si>
  <si>
    <t>3.5</t>
  </si>
  <si>
    <t>Работы,выполняемые в целях надлежащего содержания колон и столбов</t>
  </si>
  <si>
    <t>3.6</t>
  </si>
  <si>
    <t>Работы,выполняемые в целях надлежащего содержания балок (ригелей)перекрытий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</si>
  <si>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</si>
  <si>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печей,каминов и очагов</t>
  </si>
  <si>
    <t>Работы, выполняемые в целях надлежащего содержания  индивидуальных тепловых пунктов и водоподкачек</t>
  </si>
  <si>
    <t>Работы, выполняемые в целях надлежащего содержания систем теплоснабжения (отопление,горячее водоснабжение)</t>
  </si>
  <si>
    <t>Работы, выполняемые в целях надлежащего содержания электрооборудования,радио и телекоммуникационного оборудования</t>
  </si>
  <si>
    <t>Работы, выполняемые в целях надлежащего содержания систем внутридомового газового оборудования</t>
  </si>
  <si>
    <t>3.25</t>
  </si>
  <si>
    <t>3.26</t>
  </si>
  <si>
    <t>3.27</t>
  </si>
  <si>
    <t>3.28</t>
  </si>
  <si>
    <t>протокол №_____ от _____________20___г.</t>
  </si>
  <si>
    <t xml:space="preserve">Перечень работ,услуг по управлению многоквартирным домом,содержанию и ремонту </t>
  </si>
  <si>
    <t>общего имущества в многоквартирном доме,определение их стоимости и размера платы</t>
  </si>
  <si>
    <t>за содержание и ремонт общего имущества многоквартирного дома</t>
  </si>
  <si>
    <t>за содержание и ремонт общего имущества многоквартирных домов</t>
  </si>
  <si>
    <t xml:space="preserve">Работы по содержанию придомовой территории в теплый период года(санитарная уборка жил.фонда;подметание и мытье полов,мытье и протирка окон,дверей) </t>
  </si>
  <si>
    <t xml:space="preserve">Работы по содержанию помещений, входящих в состав общего имущества (услуги по ведению аналитического учета операций,связанных с начислением платежей,паспортное обслуживание,прием платежей за ЖКУ;обсуживание и тек.ремонт внутридомовых инженерных систем тепло - водоснабжения и водоотведения,ливневой канализации,систем вентиляции;лицензирование,коммунальные услуги,общеэксплутационные расходы,налог по усн.) </t>
  </si>
  <si>
    <t>Работы по содержанию придомовой территории в холодный период года(уборка и подметание снега при снегопаде)</t>
  </si>
  <si>
    <t>г.Когалым,ул.Ленинградская, дом 39, общая площадь жилых и нежилых  помещений 1470,10 м2</t>
  </si>
  <si>
    <t>г.Когалым,ул.Ленинградская, дом 45, общая площадь жилых и нежилых  помещений 1469,50 м2</t>
  </si>
  <si>
    <t>г.Когалым,ул.Ленинградская, дом 47, общая площадь жилых и нежилых  помещений 1469,60 м2</t>
  </si>
  <si>
    <t>г.Когалым,ул.Ленинградская, дом 51, общая площадь жилых и нежилых  помещений 3672,36 м2</t>
  </si>
  <si>
    <t>г.Когалым,ул.Ленинградская, дом 57, общая площадь жилых и нежилых  помещений 1467,00 м2</t>
  </si>
  <si>
    <t>г.Когалым,ул.Прибалтийская, дом 27/1, общая площадь жилых и нежилых  помещений 4855,10 м2</t>
  </si>
  <si>
    <t>г.Когалым,ул.Прибалтийская, дом 31/1, общая площадь жилых и нежилых  помещений 4639,80 м2</t>
  </si>
  <si>
    <t>г.Когалым,ул.Ленинградская, дом 6, общая площадь жилых и нежилых  помещений 1487,25 м2</t>
  </si>
  <si>
    <t>г.Когалым,ул.Ленинградская, дом 8, общая площадь жилых и нежилых  помещений 3662,90 м2</t>
  </si>
  <si>
    <t>г.Когалым,ул.Ленинградская, дом 10, общая площадь жилых и нежилых  помещений 1479,80 м2</t>
  </si>
  <si>
    <t>г.Когалым,ул.Ленинградская, дом 12, общая площадь жилых и нежилых  помещений 3351,40 м2</t>
  </si>
  <si>
    <t>г.Когалым,ул.Прибалтийская , дом 25, общая площадь жилых и нежилых  помещений 3321,63 м2</t>
  </si>
  <si>
    <t>г.Когалым,ул.Бакинская , дом 19а, общая площадь жилых и нежилых  помещений 6722,50 м2</t>
  </si>
  <si>
    <t>г.Когалым, ООО "Содружество" общая площадь жилых и нежилых  помещений 81642,66 м2</t>
  </si>
  <si>
    <t>г.Когалым,ул.Ленинградская, дом 33, общая площадь жилых и нежилых  помещений 5823,70 м2</t>
  </si>
  <si>
    <t>г.Когалым,ул.Ленинградская, дом 37, общая площадь жилых и нежилых  помещений 3663,70 м2</t>
  </si>
  <si>
    <t>г.Когалым,ул.Ленинградская, дом 41, общая площадь жилых и нежилых  помещений 3661,60 м2</t>
  </si>
  <si>
    <t>г.Когалым,ул.Ленинградская, дом 43, общая площадь жилых и нежилых  помещений 3670,60 м2</t>
  </si>
  <si>
    <t>г.Когалым,ул.Ленинградская, дом 53, общая площадь жилых и нежилых  помещений 3653,60 м2</t>
  </si>
  <si>
    <t>г.Когалым,ул.Ленинградская, дом 59, общая площадь жилых и нежилых  помещений 1412,08 м2</t>
  </si>
  <si>
    <t>г.Когалым,ул.Ленинградская, дом 61, общая площадь жилых и нежилых  помещений 3283,53 м2</t>
  </si>
  <si>
    <t>г.Когалым,ул.Ленинградская, дом 65, общая площадь жилых и нежилых  помещений 3538,30 м2</t>
  </si>
  <si>
    <t>г.Когалым,ул.Прибалтийская, дом 29/1, общая площадь жилых и нежилых  помещений 4736,51 м2</t>
  </si>
  <si>
    <t>г.Когалым,ул.Ленинградская, дом 4, общая площадь жилых и нежилых  помещений 3675,60 м2</t>
  </si>
  <si>
    <t>г.Когалым,ул.Прибалтийская , дом 23, общая площадь жилых и нежилых  помещений 3672,50 м2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</si>
</sst>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40"/>
      <name val="Times New Roman"/>
      <family val="1"/>
    </font>
    <font>
      <sz val="8"/>
      <name val="Calibri"/>
      <family val="2"/>
    </font>
    <font>
      <sz val="11"/>
      <color indexed="9"/>
      <name val="Times New Roman"/>
      <family val="1"/>
    </font>
    <font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27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" vertical="center" wrapText="1"/>
      <protection/>
    </xf>
    <xf numFmtId="4" fontId="27" fillId="0" borderId="0" xfId="0" applyNumberFormat="1" applyFont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7" fillId="0" borderId="10" xfId="52" applyFont="1" applyFill="1" applyBorder="1" applyAlignment="1">
      <alignment horizontal="left" vertical="center" wrapText="1"/>
      <protection/>
    </xf>
    <xf numFmtId="0" fontId="25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Continuous" vertical="center"/>
    </xf>
    <xf numFmtId="0" fontId="27" fillId="24" borderId="0" xfId="0" applyFont="1" applyFill="1" applyAlignment="1">
      <alignment horizontal="centerContinuous" vertical="center" wrapText="1"/>
    </xf>
    <xf numFmtId="4" fontId="27" fillId="24" borderId="0" xfId="0" applyNumberFormat="1" applyFont="1" applyFill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right" vertical="center"/>
    </xf>
    <xf numFmtId="4" fontId="31" fillId="24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4" fontId="31" fillId="24" borderId="13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 horizontal="center" vertical="center" wrapText="1"/>
    </xf>
    <xf numFmtId="4" fontId="8" fillId="24" borderId="0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4" fontId="8" fillId="24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4" fontId="32" fillId="24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8" fillId="0" borderId="14" xfId="52" applyNumberFormat="1" applyFont="1" applyFill="1" applyBorder="1" applyAlignment="1">
      <alignment horizontal="right" vertical="center" wrapText="1"/>
      <protection/>
    </xf>
    <xf numFmtId="4" fontId="32" fillId="0" borderId="13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horizontal="right" vertical="center"/>
    </xf>
    <xf numFmtId="4" fontId="5" fillId="24" borderId="13" xfId="0" applyNumberFormat="1" applyFont="1" applyFill="1" applyBorder="1" applyAlignment="1">
      <alignment horizontal="right" vertical="center"/>
    </xf>
    <xf numFmtId="0" fontId="27" fillId="24" borderId="15" xfId="0" applyFont="1" applyFill="1" applyBorder="1" applyAlignment="1">
      <alignment horizontal="centerContinuous" vertical="center" wrapText="1"/>
    </xf>
    <xf numFmtId="4" fontId="8" fillId="24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7" fillId="24" borderId="0" xfId="0" applyFont="1" applyFill="1" applyBorder="1" applyAlignment="1">
      <alignment horizontal="centerContinuous" vertical="center" wrapText="1"/>
    </xf>
    <xf numFmtId="0" fontId="27" fillId="0" borderId="0" xfId="0" applyFont="1" applyBorder="1" applyAlignment="1">
      <alignment horizontal="centerContinuous" vertical="center" wrapText="1"/>
    </xf>
    <xf numFmtId="4" fontId="32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32" fillId="24" borderId="13" xfId="0" applyNumberFormat="1" applyFont="1" applyFill="1" applyBorder="1" applyAlignment="1">
      <alignment horizontal="right" vertical="center"/>
    </xf>
    <xf numFmtId="4" fontId="8" fillId="24" borderId="10" xfId="52" applyNumberFormat="1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4" fontId="27" fillId="24" borderId="0" xfId="0" applyNumberFormat="1" applyFont="1" applyFill="1" applyAlignment="1">
      <alignment horizontal="center" vertical="center"/>
    </xf>
    <xf numFmtId="2" fontId="27" fillId="24" borderId="15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right" vertical="center"/>
    </xf>
    <xf numFmtId="4" fontId="31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8" fillId="24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2" fontId="39" fillId="24" borderId="17" xfId="0" applyNumberFormat="1" applyFont="1" applyFill="1" applyBorder="1" applyAlignment="1">
      <alignment vertical="center"/>
    </xf>
    <xf numFmtId="2" fontId="39" fillId="0" borderId="0" xfId="0" applyNumberFormat="1" applyFont="1" applyBorder="1" applyAlignment="1">
      <alignment vertical="center"/>
    </xf>
    <xf numFmtId="0" fontId="40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42;&#1040;&#1071;%20&#1057;&#1052;&#1045;&#1058;&#1040;%20%2034.21%20&#1089;%20&#1076;&#1086;&#1084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ОДН электроэнергия"/>
      <sheetName val="ОДН вода"/>
      <sheetName val="Лист1"/>
    </sheetNames>
    <sheetDataSet>
      <sheetData sheetId="0">
        <row r="14">
          <cell r="E14">
            <v>81642.66</v>
          </cell>
          <cell r="L14">
            <v>5823.7</v>
          </cell>
          <cell r="M14">
            <v>3663.7</v>
          </cell>
          <cell r="N14">
            <v>1470.1</v>
          </cell>
          <cell r="O14">
            <v>3661.6</v>
          </cell>
          <cell r="P14">
            <v>3670.6</v>
          </cell>
          <cell r="Q14">
            <v>1469.5</v>
          </cell>
          <cell r="R14">
            <v>1469.6</v>
          </cell>
          <cell r="S14">
            <v>3672.5</v>
          </cell>
          <cell r="T14">
            <v>3321.63</v>
          </cell>
          <cell r="U14">
            <v>4855.1</v>
          </cell>
          <cell r="V14">
            <v>4736.51</v>
          </cell>
          <cell r="W14">
            <v>4639.8</v>
          </cell>
          <cell r="X14">
            <v>3672.36</v>
          </cell>
          <cell r="Y14">
            <v>3675.6</v>
          </cell>
          <cell r="Z14">
            <v>1487.25</v>
          </cell>
          <cell r="AA14">
            <v>3662.9</v>
          </cell>
          <cell r="AB14">
            <v>1479.8</v>
          </cell>
          <cell r="AC14">
            <v>3351.4</v>
          </cell>
          <cell r="AD14">
            <v>3653.6</v>
          </cell>
          <cell r="AE14">
            <v>1467</v>
          </cell>
          <cell r="AF14">
            <v>1412.08</v>
          </cell>
          <cell r="AG14">
            <v>3283.53</v>
          </cell>
          <cell r="AH14">
            <v>3538.3</v>
          </cell>
          <cell r="AI14">
            <v>6722.5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8">
      <selection activeCell="N18" sqref="N18"/>
    </sheetView>
  </sheetViews>
  <sheetFormatPr defaultColWidth="9.140625" defaultRowHeight="15"/>
  <cols>
    <col min="1" max="1" width="7.28125" style="4" customWidth="1"/>
    <col min="2" max="2" width="44.8515625" style="4" customWidth="1"/>
    <col min="3" max="3" width="0.85546875" style="4" hidden="1" customWidth="1"/>
    <col min="4" max="4" width="20.7109375" style="4" customWidth="1"/>
    <col min="5" max="5" width="19.00390625" style="18" customWidth="1"/>
    <col min="6" max="6" width="0.2890625" style="29" hidden="1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.75" hidden="1">
      <c r="A1" s="1" t="s">
        <v>0</v>
      </c>
      <c r="E1" s="17" t="s">
        <v>9</v>
      </c>
    </row>
    <row r="2" spans="1:5" ht="15.75" hidden="1">
      <c r="A2" s="1" t="s">
        <v>1</v>
      </c>
      <c r="E2" s="17" t="s">
        <v>11</v>
      </c>
    </row>
    <row r="3" spans="1:5" ht="15.75" hidden="1">
      <c r="A3" s="1" t="s">
        <v>2</v>
      </c>
      <c r="E3" s="17" t="s">
        <v>10</v>
      </c>
    </row>
    <row r="4" ht="15.75" hidden="1">
      <c r="A4" s="1" t="s">
        <v>3</v>
      </c>
    </row>
    <row r="5" ht="15" hidden="1"/>
    <row r="6" spans="1:5" ht="75" hidden="1">
      <c r="A6" s="2" t="s">
        <v>12</v>
      </c>
      <c r="B6" s="3"/>
      <c r="C6" s="3"/>
      <c r="D6" s="3"/>
      <c r="E6" s="19"/>
    </row>
    <row r="7" spans="1:5" ht="15" hidden="1">
      <c r="A7" s="3" t="s">
        <v>51</v>
      </c>
      <c r="B7" s="3"/>
      <c r="C7" s="3"/>
      <c r="D7" s="3"/>
      <c r="E7" s="20"/>
    </row>
    <row r="8" spans="1:5" ht="15">
      <c r="A8" s="51"/>
      <c r="B8" s="51"/>
      <c r="C8" s="49"/>
      <c r="D8" s="49"/>
      <c r="E8" s="20"/>
    </row>
    <row r="9" spans="1:6" ht="15.75">
      <c r="A9" s="67" t="s">
        <v>81</v>
      </c>
      <c r="B9" s="67"/>
      <c r="C9" s="67"/>
      <c r="D9" s="67"/>
      <c r="E9" s="67"/>
      <c r="F9" s="67"/>
    </row>
    <row r="10" spans="1:6" ht="15.75">
      <c r="A10" s="67" t="s">
        <v>82</v>
      </c>
      <c r="B10" s="67"/>
      <c r="C10" s="67"/>
      <c r="D10" s="67"/>
      <c r="E10" s="67"/>
      <c r="F10" s="67"/>
    </row>
    <row r="11" spans="1:6" ht="15.75">
      <c r="A11" s="67" t="s">
        <v>84</v>
      </c>
      <c r="B11" s="67"/>
      <c r="C11" s="67"/>
      <c r="D11" s="67"/>
      <c r="E11" s="67"/>
      <c r="F11" s="67"/>
    </row>
    <row r="12" spans="1:6" ht="15">
      <c r="A12" s="65" t="s">
        <v>101</v>
      </c>
      <c r="B12" s="66"/>
      <c r="C12" s="66"/>
      <c r="D12" s="66"/>
      <c r="E12" s="66"/>
      <c r="F12" s="66"/>
    </row>
    <row r="13" spans="1:5" ht="15">
      <c r="A13" s="3"/>
      <c r="B13" s="3"/>
      <c r="C13" s="3"/>
      <c r="D13" s="3"/>
      <c r="E13" s="52"/>
    </row>
    <row r="14" spans="1:5" ht="28.5">
      <c r="A14" s="9" t="s">
        <v>45</v>
      </c>
      <c r="B14" s="3"/>
      <c r="C14" s="3"/>
      <c r="D14" s="3"/>
      <c r="E14" s="47"/>
    </row>
    <row r="15" spans="1:10" ht="15.75" customHeight="1">
      <c r="A15" s="3"/>
      <c r="B15" s="3"/>
      <c r="C15" s="3"/>
      <c r="D15" s="53"/>
      <c r="E15" s="52"/>
      <c r="J15" s="62">
        <f>'[1]СМЕТА'!$E$14</f>
        <v>81642.66</v>
      </c>
    </row>
    <row r="16" spans="1:42" ht="42" customHeight="1">
      <c r="A16" s="68" t="s">
        <v>8</v>
      </c>
      <c r="B16" s="68" t="s">
        <v>4</v>
      </c>
      <c r="C16" s="27" t="s">
        <v>5</v>
      </c>
      <c r="D16" s="70" t="s">
        <v>6</v>
      </c>
      <c r="E16" s="72" t="s">
        <v>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</row>
    <row r="17" spans="1:42" ht="14.25" customHeight="1">
      <c r="A17" s="69"/>
      <c r="B17" s="69"/>
      <c r="C17" s="27"/>
      <c r="D17" s="71"/>
      <c r="E17" s="7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5"/>
    </row>
    <row r="18" spans="1:44" s="10" customFormat="1" ht="54" customHeight="1">
      <c r="A18" s="22">
        <v>1</v>
      </c>
      <c r="B18" s="23" t="s">
        <v>13</v>
      </c>
      <c r="C18" s="24"/>
      <c r="D18" s="43">
        <f>D19+D20+D49+D50</f>
        <v>33516151.04</v>
      </c>
      <c r="E18" s="48">
        <f>E19+E20</f>
        <v>34.21021052800909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5"/>
      <c r="AQ18" s="37"/>
      <c r="AR18" s="37"/>
    </row>
    <row r="19" spans="1:44" ht="54" customHeight="1">
      <c r="A19" s="7">
        <v>2</v>
      </c>
      <c r="B19" s="5" t="s">
        <v>43</v>
      </c>
      <c r="C19" s="12" t="s">
        <v>52</v>
      </c>
      <c r="D19" s="57">
        <v>1911482</v>
      </c>
      <c r="E19" s="25">
        <f>D19/J15/12</f>
        <v>1.9510653703182461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5"/>
      <c r="AQ19" s="39"/>
      <c r="AR19" s="39"/>
    </row>
    <row r="20" spans="1:44" ht="24.75" customHeight="1">
      <c r="A20" s="7">
        <v>3</v>
      </c>
      <c r="B20" s="5" t="s">
        <v>27</v>
      </c>
      <c r="C20" s="12"/>
      <c r="D20" s="57">
        <f>D21+D22+D23+D24+D25+D26+D27+D28+D29+D30+D31+D32+D33+D34+D35+D36+D37+D38+D39+D40+D41+D42+D43+D44+D45+D46+D47+D48+D49+D50+D51</f>
        <v>31604669.04</v>
      </c>
      <c r="E20" s="54">
        <f>E21+E22+E23+E24+E25+E26+E27+E28+E29+E30+E31+E32+E33+E34+E35+E36+E37+E38+E39+E40+E41+E42+E43+E44+E45+E46+E47+E48+E49+E50+E51</f>
        <v>32.259145157690845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39"/>
      <c r="AR20" s="39"/>
    </row>
    <row r="21" spans="1:44" ht="27.75" customHeight="1">
      <c r="A21" s="8">
        <v>3.1</v>
      </c>
      <c r="B21" s="5" t="s">
        <v>14</v>
      </c>
      <c r="C21" s="12"/>
      <c r="D21" s="28"/>
      <c r="E21" s="2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5"/>
      <c r="AQ21" s="39"/>
      <c r="AR21" s="39"/>
    </row>
    <row r="22" spans="1:44" ht="22.5" customHeight="1">
      <c r="A22" s="6">
        <v>3.2</v>
      </c>
      <c r="B22" s="5" t="s">
        <v>15</v>
      </c>
      <c r="C22" s="12" t="s">
        <v>55</v>
      </c>
      <c r="D22" s="28">
        <v>384239.95</v>
      </c>
      <c r="E22" s="26">
        <f>D22/J15/12</f>
        <v>0.3921968715048399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6.25" customHeight="1">
      <c r="A23" s="8">
        <v>3.3</v>
      </c>
      <c r="B23" s="5" t="s">
        <v>16</v>
      </c>
      <c r="C23" s="12" t="s">
        <v>57</v>
      </c>
      <c r="D23" s="28">
        <v>223498.89</v>
      </c>
      <c r="E23" s="26">
        <f>D23/J15/12</f>
        <v>0.22812715190808333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7" customHeight="1">
      <c r="A24" s="6" t="s">
        <v>65</v>
      </c>
      <c r="B24" s="5" t="s">
        <v>17</v>
      </c>
      <c r="C24" s="12" t="s">
        <v>54</v>
      </c>
      <c r="D24" s="28"/>
      <c r="E24" s="2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5"/>
      <c r="AQ24" s="39"/>
      <c r="AR24" s="39"/>
    </row>
    <row r="25" spans="1:44" ht="29.25" customHeight="1">
      <c r="A25" s="6" t="s">
        <v>66</v>
      </c>
      <c r="B25" s="5" t="s">
        <v>67</v>
      </c>
      <c r="C25" s="12"/>
      <c r="D25" s="28"/>
      <c r="E25" s="2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5"/>
      <c r="AQ25" s="39"/>
      <c r="AR25" s="39"/>
    </row>
    <row r="26" spans="1:44" ht="39" customHeight="1">
      <c r="A26" s="6" t="s">
        <v>68</v>
      </c>
      <c r="B26" s="5" t="s">
        <v>69</v>
      </c>
      <c r="C26" s="12"/>
      <c r="D26" s="28"/>
      <c r="E26" s="2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35"/>
      <c r="AQ26" s="39"/>
      <c r="AR26" s="39"/>
    </row>
    <row r="27" spans="1:44" ht="28.5" customHeight="1">
      <c r="A27" s="8">
        <v>3.7</v>
      </c>
      <c r="B27" s="5" t="s">
        <v>18</v>
      </c>
      <c r="C27" s="12" t="s">
        <v>55</v>
      </c>
      <c r="D27" s="28">
        <v>1195106.1</v>
      </c>
      <c r="E27" s="26">
        <f>D27/J15/12</f>
        <v>1.219854607872894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50.25" customHeight="1">
      <c r="A28" s="6">
        <v>3.8</v>
      </c>
      <c r="B28" s="5" t="s">
        <v>61</v>
      </c>
      <c r="C28" s="12" t="s">
        <v>55</v>
      </c>
      <c r="D28" s="28">
        <v>465900</v>
      </c>
      <c r="E28" s="26">
        <f>D28/J15/12</f>
        <v>0.4755479549539419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51.75" customHeight="1">
      <c r="A29" s="8">
        <v>3.9</v>
      </c>
      <c r="B29" s="5" t="s">
        <v>19</v>
      </c>
      <c r="C29" s="12" t="s">
        <v>55</v>
      </c>
      <c r="D29" s="28">
        <v>372720</v>
      </c>
      <c r="E29" s="26">
        <f>D29/J15/12</f>
        <v>0.3804383639631536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3.5" customHeight="1">
      <c r="A30" s="6" t="s">
        <v>28</v>
      </c>
      <c r="B30" s="5" t="s">
        <v>62</v>
      </c>
      <c r="C30" s="12" t="s">
        <v>55</v>
      </c>
      <c r="D30" s="28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25.5">
      <c r="A31" s="6" t="s">
        <v>29</v>
      </c>
      <c r="B31" s="5" t="s">
        <v>63</v>
      </c>
      <c r="C31" s="12"/>
      <c r="D31" s="28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30</v>
      </c>
      <c r="B32" s="5" t="s">
        <v>20</v>
      </c>
      <c r="C32" s="12"/>
      <c r="D32" s="28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8" customHeight="1">
      <c r="A33" s="6" t="s">
        <v>31</v>
      </c>
      <c r="B33" s="5" t="s">
        <v>21</v>
      </c>
      <c r="C33" s="12" t="s">
        <v>56</v>
      </c>
      <c r="D33" s="28">
        <v>1667922</v>
      </c>
      <c r="E33" s="26">
        <f>D33/J15/12</f>
        <v>1.7024616787351121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3" customHeight="1">
      <c r="A34" s="6" t="s">
        <v>32</v>
      </c>
      <c r="B34" s="5" t="s">
        <v>70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41.25" customHeight="1">
      <c r="A35" s="6" t="s">
        <v>33</v>
      </c>
      <c r="B35" s="5" t="s">
        <v>22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41.25" customHeight="1">
      <c r="A36" s="6" t="s">
        <v>34</v>
      </c>
      <c r="B36" s="5" t="s">
        <v>71</v>
      </c>
      <c r="C36" s="12"/>
      <c r="D36" s="28"/>
      <c r="E36" s="2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40.5" customHeight="1">
      <c r="A37" s="6" t="s">
        <v>35</v>
      </c>
      <c r="B37" s="5" t="s">
        <v>72</v>
      </c>
      <c r="C37" s="12" t="s">
        <v>52</v>
      </c>
      <c r="D37" s="46">
        <v>2743200</v>
      </c>
      <c r="E37" s="26">
        <f>D37/J15/12</f>
        <v>2.8000067611711814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2.5" customHeight="1">
      <c r="A38" s="6" t="s">
        <v>36</v>
      </c>
      <c r="B38" s="5" t="s">
        <v>64</v>
      </c>
      <c r="C38" s="12"/>
      <c r="D38" s="28"/>
      <c r="E38" s="2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40.5" customHeight="1">
      <c r="A39" s="6" t="s">
        <v>37</v>
      </c>
      <c r="B39" s="5" t="s">
        <v>73</v>
      </c>
      <c r="C39" s="12"/>
      <c r="D39" s="28"/>
      <c r="E39" s="2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39" customHeight="1">
      <c r="A40" s="6" t="s">
        <v>38</v>
      </c>
      <c r="B40" s="5" t="s">
        <v>74</v>
      </c>
      <c r="C40" s="12" t="s">
        <v>52</v>
      </c>
      <c r="D40" s="28">
        <v>1430400</v>
      </c>
      <c r="E40" s="26">
        <f>D40/J15/12</f>
        <v>1.4600210233228559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9" customHeight="1">
      <c r="A41" s="6" t="s">
        <v>39</v>
      </c>
      <c r="B41" s="5" t="s">
        <v>75</v>
      </c>
      <c r="C41" s="12"/>
      <c r="D41" s="28"/>
      <c r="E41" s="26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0.75" customHeight="1">
      <c r="A42" s="6" t="s">
        <v>40</v>
      </c>
      <c r="B42" s="5" t="s">
        <v>60</v>
      </c>
      <c r="C42" s="12" t="s">
        <v>52</v>
      </c>
      <c r="D42" s="28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144.75" customHeight="1">
      <c r="A43" s="6" t="s">
        <v>41</v>
      </c>
      <c r="B43" s="56" t="s">
        <v>86</v>
      </c>
      <c r="C43" s="12" t="s">
        <v>52</v>
      </c>
      <c r="D43" s="28">
        <v>12530025.18</v>
      </c>
      <c r="E43" s="26">
        <f>D43/J15/12</f>
        <v>12.789499570445157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60" customHeight="1">
      <c r="A44" s="6" t="s">
        <v>44</v>
      </c>
      <c r="B44" s="5" t="s">
        <v>87</v>
      </c>
      <c r="C44" s="12" t="s">
        <v>58</v>
      </c>
      <c r="D44" s="28">
        <v>1023792</v>
      </c>
      <c r="E44" s="26">
        <f>D44/J15/12</f>
        <v>1.0449928995454092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64.5" customHeight="1">
      <c r="A45" s="6" t="s">
        <v>76</v>
      </c>
      <c r="B45" s="5" t="s">
        <v>85</v>
      </c>
      <c r="C45" s="12" t="s">
        <v>59</v>
      </c>
      <c r="D45" s="28">
        <v>5673500</v>
      </c>
      <c r="E45" s="26">
        <f>D45/J15/12</f>
        <v>5.790988028399205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1:44" ht="69" customHeight="1">
      <c r="A46" s="6" t="s">
        <v>77</v>
      </c>
      <c r="B46" s="5" t="s">
        <v>23</v>
      </c>
      <c r="C46" s="16" t="s">
        <v>53</v>
      </c>
      <c r="D46" s="28">
        <v>2415000</v>
      </c>
      <c r="E46" s="26">
        <f>D46/J15/12</f>
        <v>2.4650103267091</v>
      </c>
      <c r="F46" s="5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9"/>
      <c r="AR46" s="39"/>
    </row>
    <row r="47" spans="1:44" ht="65.25" customHeight="1">
      <c r="A47" s="6" t="s">
        <v>78</v>
      </c>
      <c r="B47" s="5" t="s">
        <v>24</v>
      </c>
      <c r="C47" s="12" t="s">
        <v>52</v>
      </c>
      <c r="D47" s="28"/>
      <c r="E47" s="2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9"/>
      <c r="AR47" s="39"/>
    </row>
    <row r="48" spans="1:44" ht="55.5" customHeight="1">
      <c r="A48" s="6" t="s">
        <v>79</v>
      </c>
      <c r="B48" s="5" t="s">
        <v>25</v>
      </c>
      <c r="C48" s="13" t="s">
        <v>52</v>
      </c>
      <c r="D48" s="28">
        <v>1479364.92</v>
      </c>
      <c r="E48" s="26">
        <f>D48/J15/12</f>
        <v>1.5099999191599096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9"/>
      <c r="AR48" s="39"/>
    </row>
    <row r="49" spans="1:44" ht="33" customHeight="1">
      <c r="A49" s="6" t="s">
        <v>42</v>
      </c>
      <c r="B49" s="5" t="s">
        <v>26</v>
      </c>
      <c r="C49" s="14" t="s">
        <v>52</v>
      </c>
      <c r="D49" s="28"/>
      <c r="E49" s="2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9"/>
      <c r="AR49" s="39"/>
    </row>
    <row r="50" spans="1:44" ht="49.5" customHeight="1">
      <c r="A50" s="6" t="s">
        <v>46</v>
      </c>
      <c r="B50" s="5" t="s">
        <v>47</v>
      </c>
      <c r="C50" s="12" t="s">
        <v>50</v>
      </c>
      <c r="D50" s="28"/>
      <c r="E50" s="26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/>
      <c r="AQ50" s="39"/>
      <c r="AR50" s="39"/>
    </row>
    <row r="51" spans="1:44" ht="48" customHeight="1">
      <c r="A51" s="6" t="s">
        <v>48</v>
      </c>
      <c r="B51" s="5" t="s">
        <v>49</v>
      </c>
      <c r="C51" s="12" t="s">
        <v>50</v>
      </c>
      <c r="D51" s="45"/>
      <c r="E51" s="26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/>
      <c r="AQ51" s="39"/>
      <c r="AR51" s="39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  <row r="120" spans="4:5" ht="15">
      <c r="D120" s="11"/>
      <c r="E120" s="21"/>
    </row>
    <row r="121" spans="4:5" ht="15">
      <c r="D121" s="11"/>
      <c r="E121" s="21"/>
    </row>
    <row r="122" spans="4:5" ht="15">
      <c r="D122" s="11"/>
      <c r="E122" s="21"/>
    </row>
    <row r="123" spans="4:5" ht="15">
      <c r="D123" s="11"/>
      <c r="E123" s="21"/>
    </row>
    <row r="124" spans="4:5" ht="15">
      <c r="D124" s="11"/>
      <c r="E124" s="21"/>
    </row>
    <row r="125" spans="4:5" ht="15">
      <c r="D125" s="11"/>
      <c r="E125" s="21"/>
    </row>
  </sheetData>
  <sheetProtection/>
  <mergeCells count="8">
    <mergeCell ref="A16:A17"/>
    <mergeCell ref="B16:B17"/>
    <mergeCell ref="D16:D17"/>
    <mergeCell ref="E16:E17"/>
    <mergeCell ref="A12:F12"/>
    <mergeCell ref="A9:F9"/>
    <mergeCell ref="A10:F10"/>
    <mergeCell ref="A11:F11"/>
  </mergeCells>
  <printOptions/>
  <pageMargins left="0.7086614173228347" right="0.7086614173228347" top="0.31" bottom="0.7480314960629921" header="0.31496062992125984" footer="0.31496062992125984"/>
  <pageSetup horizontalDpi="600" verticalDpi="600" orientation="portrait" paperSize="9" scale="95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5" sqref="H5:I9"/>
    </sheetView>
  </sheetViews>
  <sheetFormatPr defaultColWidth="9.140625" defaultRowHeight="15"/>
  <cols>
    <col min="1" max="1" width="5.8515625" style="4" customWidth="1"/>
    <col min="2" max="2" width="44.421875" style="4" customWidth="1"/>
    <col min="3" max="3" width="17.7109375" style="4" hidden="1" customWidth="1"/>
    <col min="4" max="4" width="16.421875" style="4" customWidth="1"/>
    <col min="5" max="5" width="16.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9" ht="15">
      <c r="A5" s="78" t="s">
        <v>106</v>
      </c>
      <c r="B5" s="79"/>
      <c r="C5" s="79"/>
      <c r="D5" s="79"/>
      <c r="E5" s="79"/>
      <c r="F5" s="79"/>
      <c r="H5" s="85"/>
      <c r="I5" s="85"/>
    </row>
    <row r="6" spans="1:9" ht="15">
      <c r="A6" s="3"/>
      <c r="B6" s="3"/>
      <c r="C6" s="3"/>
      <c r="D6" s="3"/>
      <c r="E6" s="52"/>
      <c r="H6" s="85"/>
      <c r="I6" s="85"/>
    </row>
    <row r="7" spans="1:9" ht="28.5">
      <c r="A7" s="9" t="s">
        <v>45</v>
      </c>
      <c r="B7" s="3"/>
      <c r="C7" s="3"/>
      <c r="D7" s="3"/>
      <c r="E7" s="47"/>
      <c r="H7" s="86">
        <f>'[1]СМЕТА'!$AD$14</f>
        <v>3653.6</v>
      </c>
      <c r="I7" s="87">
        <f>'Л.51'!I8</f>
        <v>81642.66</v>
      </c>
    </row>
    <row r="8" spans="4:9" ht="15">
      <c r="D8" s="1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88"/>
      <c r="I9" s="8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1499885.102221608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'2015-1'!D19/'Л.53'!I7*'Л.53'!H7</f>
        <v>85540.94924393692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1414344.152977671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'2015-1'!D22/'Л.53'!I7*'Л.53'!H7</f>
        <v>17195.165876760995</v>
      </c>
      <c r="E15" s="26">
        <f>D15/H7/12</f>
        <v>0.39219687150483984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'2015-1'!D23/'Л.53'!I7*'Л.53'!H7</f>
        <v>10001.82434653648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53482.32954389287</v>
      </c>
      <c r="E20" s="26">
        <f>D20/H7/12</f>
        <v>1.2198546078728942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20849.544098636667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16679.635278909336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74641.36787311926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122761.25643138035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64011.99372974863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9.5" customHeight="1">
      <c r="A36" s="6" t="s">
        <v>41</v>
      </c>
      <c r="B36" s="56" t="s">
        <v>86</v>
      </c>
      <c r="C36" s="12" t="s">
        <v>52</v>
      </c>
      <c r="D36" s="45">
        <f>12530025.18/I7*H7</f>
        <v>560732.587566941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45815.83269334928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253895.44632671203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108073.94075597242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66203.22845571175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6" sqref="H6:I8"/>
    </sheetView>
  </sheetViews>
  <sheetFormatPr defaultColWidth="9.140625" defaultRowHeight="15"/>
  <cols>
    <col min="1" max="1" width="5.8515625" style="4" customWidth="1"/>
    <col min="2" max="2" width="44.28125" style="4" customWidth="1"/>
    <col min="3" max="3" width="17.7109375" style="4" hidden="1" customWidth="1"/>
    <col min="4" max="4" width="16.421875" style="4" customWidth="1"/>
    <col min="5" max="5" width="17.14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92</v>
      </c>
      <c r="B5" s="79"/>
      <c r="C5" s="79"/>
      <c r="D5" s="79"/>
      <c r="E5" s="79"/>
      <c r="F5" s="79"/>
    </row>
    <row r="6" spans="1:9" ht="15">
      <c r="A6" s="3"/>
      <c r="B6" s="3"/>
      <c r="C6" s="3"/>
      <c r="D6" s="3"/>
      <c r="E6" s="52"/>
      <c r="H6" s="85"/>
      <c r="I6" s="85"/>
    </row>
    <row r="7" spans="1:9" ht="28.5">
      <c r="A7" s="9" t="s">
        <v>45</v>
      </c>
      <c r="B7" s="3"/>
      <c r="C7" s="3"/>
      <c r="D7" s="3"/>
      <c r="E7" s="47"/>
      <c r="H7" s="86">
        <f>'[1]СМЕТА'!$AE$14</f>
        <v>1467</v>
      </c>
      <c r="I7" s="87">
        <f>'Л.53'!I7</f>
        <v>81642.66</v>
      </c>
    </row>
    <row r="8" spans="4:9" ht="15">
      <c r="D8" s="1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602236.546135072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'2015-1'!D19/'Л.57'!I7*'Л.57'!H7</f>
        <v>34346.554779082406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567889.9913559896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'2015-1'!D22/'Л.57'!I7*'Л.57'!H7</f>
        <v>6904.233725971202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'2015-1'!D23/'Л.57'!I7*'Л.57'!H7</f>
        <v>4015.9503821898993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21474.320516994427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8371.546199009194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6697.2369592073555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29970.135392452914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49291.31902365748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25702.210094575556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5.75" customHeight="1">
      <c r="A36" s="6" t="s">
        <v>41</v>
      </c>
      <c r="B36" s="56" t="s">
        <v>86</v>
      </c>
      <c r="C36" s="12" t="s">
        <v>52</v>
      </c>
      <c r="D36" s="45">
        <f>12530025.18/I7*H7</f>
        <v>225146.35043811653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18396.055003597383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101944.55325193961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43394.041791387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26582.03857689105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5" sqref="H5:J8"/>
    </sheetView>
  </sheetViews>
  <sheetFormatPr defaultColWidth="9.140625" defaultRowHeight="15"/>
  <cols>
    <col min="1" max="1" width="5.8515625" style="4" customWidth="1"/>
    <col min="2" max="2" width="45.00390625" style="4" customWidth="1"/>
    <col min="3" max="3" width="17.7109375" style="4" hidden="1" customWidth="1"/>
    <col min="4" max="4" width="15.7109375" style="4" customWidth="1"/>
    <col min="5" max="5" width="17.281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10" ht="15">
      <c r="A5" s="78" t="s">
        <v>107</v>
      </c>
      <c r="B5" s="79"/>
      <c r="C5" s="79"/>
      <c r="D5" s="79"/>
      <c r="E5" s="79"/>
      <c r="F5" s="79"/>
      <c r="H5" s="85"/>
      <c r="I5" s="85"/>
      <c r="J5" s="85"/>
    </row>
    <row r="6" spans="1:10" ht="15">
      <c r="A6" s="3"/>
      <c r="B6" s="3"/>
      <c r="C6" s="3"/>
      <c r="D6" s="3"/>
      <c r="E6" s="52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H7" s="86">
        <f>'[1]СМЕТА'!$AF$14</f>
        <v>1412.08</v>
      </c>
      <c r="I7" s="87">
        <f>'Л.57'!I7</f>
        <v>81642.66</v>
      </c>
      <c r="J7" s="85"/>
    </row>
    <row r="8" spans="4:10" ht="15">
      <c r="D8" s="1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38.25">
      <c r="A11" s="22">
        <v>1</v>
      </c>
      <c r="B11" s="23" t="s">
        <v>13</v>
      </c>
      <c r="C11" s="24"/>
      <c r="D11" s="43">
        <f>D12+D13+D42+D43</f>
        <v>579690.6489886929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'2015-1'!D19/'Л.59'!I7*'Л.59'!H7</f>
        <v>33060.72465742787</v>
      </c>
      <c r="E12" s="25">
        <f>D12/H7/12</f>
        <v>1.9510653703182463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546629.924331265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'2015-1'!D22/'Л.59'!I7*'Л.59'!H7</f>
        <v>6645.760299774652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'2015-1'!D23/'Л.59'!I7*'Л.59'!H7</f>
        <v>3865.605463996396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20670.38753622187</v>
      </c>
      <c r="E20" s="26">
        <f>D20/H7/12</f>
        <v>1.2198546078728938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8058.1410747763475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6446.512859821079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28848.145047699323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47446.00256777522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24739.99783936486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8" customHeight="1">
      <c r="A36" s="6" t="s">
        <v>41</v>
      </c>
      <c r="B36" s="56" t="s">
        <v>86</v>
      </c>
      <c r="C36" s="12" t="s">
        <v>52</v>
      </c>
      <c r="D36" s="45">
        <f>12530025.18/I7*H7</f>
        <v>216717.55864121034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17707.362883080976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98128.0605017034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41769.50138567263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25586.8882301679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5" sqref="H5:J8"/>
    </sheetView>
  </sheetViews>
  <sheetFormatPr defaultColWidth="9.140625" defaultRowHeight="15"/>
  <cols>
    <col min="1" max="1" width="5.8515625" style="4" customWidth="1"/>
    <col min="2" max="2" width="44.28125" style="4" customWidth="1"/>
    <col min="3" max="3" width="17.7109375" style="4" hidden="1" customWidth="1"/>
    <col min="4" max="4" width="15.8515625" style="4" customWidth="1"/>
    <col min="5" max="5" width="15.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10" ht="15">
      <c r="A5" s="78" t="s">
        <v>108</v>
      </c>
      <c r="B5" s="79"/>
      <c r="C5" s="79"/>
      <c r="D5" s="79"/>
      <c r="E5" s="79"/>
      <c r="F5" s="79"/>
      <c r="H5" s="85"/>
      <c r="I5" s="85"/>
      <c r="J5" s="85"/>
    </row>
    <row r="6" spans="1:10" ht="15">
      <c r="A6" s="3"/>
      <c r="B6" s="3"/>
      <c r="C6" s="3"/>
      <c r="D6" s="3"/>
      <c r="E6" s="52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H7" s="86">
        <f>'[1]СМЕТА'!$AG$14</f>
        <v>3283.53</v>
      </c>
      <c r="I7" s="87">
        <f>'Л.59'!I7</f>
        <v>81642.66</v>
      </c>
      <c r="J7" s="85"/>
    </row>
    <row r="8" spans="4:10" ht="15">
      <c r="D8" s="1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1347963.030900404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'2015-1'!D19/'Л.61'!I7*'Л.61'!H7</f>
        <v>76876.58010481285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1271086.4507955913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'2015-1'!D22/'Л.61'!I7*'Л.61'!H7</f>
        <v>15453.482321907444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'2015-1'!D23/'Л.61'!I7*'Л.61'!H7</f>
        <v>8988.748165256988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48065.150407066605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18737.711718359005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14990.169374687206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67081.00795172523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110326.87440610092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57528.27396853557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9.5" customHeight="1">
      <c r="A36" s="6" t="s">
        <v>41</v>
      </c>
      <c r="B36" s="56" t="s">
        <v>86</v>
      </c>
      <c r="C36" s="12" t="s">
        <v>52</v>
      </c>
      <c r="D36" s="45">
        <f>12530025.18/I7*H7</f>
        <v>503936.4662945254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41175.186425332045</v>
      </c>
      <c r="E37" s="26">
        <f>D37/H7/12</f>
        <v>1.044992899545409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228178.59505067574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97127.22429670958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59497.56041470966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G5" sqref="G5:J8"/>
    </sheetView>
  </sheetViews>
  <sheetFormatPr defaultColWidth="9.140625" defaultRowHeight="15"/>
  <cols>
    <col min="1" max="1" width="7.28125" style="4" customWidth="1"/>
    <col min="2" max="2" width="44.28125" style="4" customWidth="1"/>
    <col min="3" max="3" width="17.7109375" style="4" hidden="1" customWidth="1"/>
    <col min="4" max="4" width="16.421875" style="4" customWidth="1"/>
    <col min="5" max="5" width="16.14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10" ht="15">
      <c r="A5" s="78" t="s">
        <v>109</v>
      </c>
      <c r="B5" s="79"/>
      <c r="C5" s="79"/>
      <c r="D5" s="79"/>
      <c r="E5" s="79"/>
      <c r="F5" s="79"/>
      <c r="G5" s="85"/>
      <c r="H5" s="85"/>
      <c r="I5" s="85"/>
      <c r="J5" s="85"/>
    </row>
    <row r="6" spans="1:10" ht="15">
      <c r="A6" s="3"/>
      <c r="B6" s="3"/>
      <c r="C6" s="3"/>
      <c r="D6" s="3"/>
      <c r="E6" s="52"/>
      <c r="G6" s="85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G7" s="85"/>
      <c r="H7" s="86">
        <f>'[1]СМЕТА'!$AH$14</f>
        <v>3538.3</v>
      </c>
      <c r="I7" s="87">
        <f>'Л.61'!I7</f>
        <v>81642.66</v>
      </c>
      <c r="J7" s="85"/>
    </row>
    <row r="8" spans="4:10" ht="15">
      <c r="D8" s="15"/>
      <c r="G8" s="8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1452551.8549350547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'2015-1'!D19/'Л.65'!I7*'Л.65'!H7</f>
        <v>82841.4551975646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1369710.39973749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'2015-1'!D22/'Л.65'!I7*'Л.65'!H7</f>
        <v>16652.522285346902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'2015-1'!D23/'Л.65'!I7*'Л.65'!H7</f>
        <v>9686.187619156455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51794.53870843993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20191.575948162394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16153.260758529917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72285.84189442138</v>
      </c>
      <c r="E26" s="26">
        <f>D26/H7/12</f>
        <v>1.7024616787351123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118887.16707662391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61991.908641879134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6.5" customHeight="1">
      <c r="A36" s="6" t="s">
        <v>41</v>
      </c>
      <c r="B36" s="56" t="s">
        <v>86</v>
      </c>
      <c r="C36" s="12" t="s">
        <v>52</v>
      </c>
      <c r="D36" s="45">
        <f>12530025.18/I7*H7</f>
        <v>543037.0359612732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44369.98051753826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245883.0352906189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104663.35246793772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64113.9925675621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23"/>
  <sheetViews>
    <sheetView workbookViewId="0" topLeftCell="A1">
      <selection activeCell="H10" sqref="H10:I13"/>
    </sheetView>
  </sheetViews>
  <sheetFormatPr defaultColWidth="9.140625" defaultRowHeight="15"/>
  <cols>
    <col min="1" max="1" width="5.8515625" style="4" customWidth="1"/>
    <col min="2" max="2" width="44.28125" style="4" customWidth="1"/>
    <col min="3" max="3" width="17.7109375" style="4" hidden="1" customWidth="1"/>
    <col min="4" max="4" width="17.421875" style="4" customWidth="1"/>
    <col min="5" max="5" width="18.14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6" ht="15.75" customHeight="1">
      <c r="A1" s="83"/>
      <c r="B1" s="84"/>
      <c r="C1" s="49"/>
      <c r="D1" s="50"/>
      <c r="E1" s="80"/>
      <c r="F1" s="81"/>
    </row>
    <row r="2" spans="1:6" ht="15">
      <c r="A2" s="84"/>
      <c r="B2" s="84"/>
      <c r="C2" s="49"/>
      <c r="D2" s="82"/>
      <c r="E2" s="81"/>
      <c r="F2" s="81"/>
    </row>
    <row r="3" spans="1:6" ht="15">
      <c r="A3" s="84"/>
      <c r="B3" s="84"/>
      <c r="C3" s="49"/>
      <c r="D3" s="82"/>
      <c r="E3" s="81"/>
      <c r="F3" s="81"/>
    </row>
    <row r="4" spans="1:5" ht="15">
      <c r="A4" s="84"/>
      <c r="B4" s="84"/>
      <c r="C4" s="49"/>
      <c r="D4" s="49"/>
      <c r="E4" s="20"/>
    </row>
    <row r="5" spans="1:5" ht="15">
      <c r="A5" s="84"/>
      <c r="B5" s="84"/>
      <c r="C5" s="49"/>
      <c r="D5" s="49"/>
      <c r="E5" s="20"/>
    </row>
    <row r="6" spans="1:5" ht="15">
      <c r="A6" s="51"/>
      <c r="B6" s="51"/>
      <c r="C6" s="49"/>
      <c r="D6" s="49"/>
      <c r="E6" s="20"/>
    </row>
    <row r="7" spans="1:6" ht="15.75">
      <c r="A7" s="67" t="s">
        <v>81</v>
      </c>
      <c r="B7" s="67"/>
      <c r="C7" s="67"/>
      <c r="D7" s="67"/>
      <c r="E7" s="67"/>
      <c r="F7" s="67"/>
    </row>
    <row r="8" spans="1:6" ht="15.75">
      <c r="A8" s="67" t="s">
        <v>82</v>
      </c>
      <c r="B8" s="67"/>
      <c r="C8" s="67"/>
      <c r="D8" s="67"/>
      <c r="E8" s="67"/>
      <c r="F8" s="67"/>
    </row>
    <row r="9" spans="1:6" ht="15.75">
      <c r="A9" s="67" t="s">
        <v>83</v>
      </c>
      <c r="B9" s="67"/>
      <c r="C9" s="67"/>
      <c r="D9" s="67"/>
      <c r="E9" s="67"/>
      <c r="F9" s="67"/>
    </row>
    <row r="10" spans="1:9" ht="15">
      <c r="A10" s="78" t="s">
        <v>93</v>
      </c>
      <c r="B10" s="79"/>
      <c r="C10" s="79"/>
      <c r="D10" s="79"/>
      <c r="E10" s="79"/>
      <c r="F10" s="79"/>
      <c r="H10" s="85"/>
      <c r="I10" s="85"/>
    </row>
    <row r="11" spans="1:9" ht="15">
      <c r="A11" s="3"/>
      <c r="B11" s="3"/>
      <c r="C11" s="3"/>
      <c r="D11" s="3"/>
      <c r="E11" s="52"/>
      <c r="H11" s="85"/>
      <c r="I11" s="85"/>
    </row>
    <row r="12" spans="1:9" ht="28.5">
      <c r="A12" s="9" t="s">
        <v>45</v>
      </c>
      <c r="B12" s="3"/>
      <c r="C12" s="3"/>
      <c r="D12" s="3"/>
      <c r="E12" s="47"/>
      <c r="H12" s="86">
        <f>'[1]СМЕТА'!$U$14</f>
        <v>4855.1</v>
      </c>
      <c r="I12" s="87">
        <f>'Л.65'!I7</f>
        <v>81642.66</v>
      </c>
    </row>
    <row r="13" spans="4:9" ht="15">
      <c r="D13" s="15"/>
      <c r="H13" s="85"/>
      <c r="I13" s="85"/>
    </row>
    <row r="14" spans="1:42" ht="42" customHeight="1">
      <c r="A14" s="74" t="s">
        <v>8</v>
      </c>
      <c r="B14" s="74" t="s">
        <v>4</v>
      </c>
      <c r="C14" s="27" t="s">
        <v>5</v>
      </c>
      <c r="D14" s="75" t="s">
        <v>6</v>
      </c>
      <c r="E14" s="77" t="s">
        <v>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</row>
    <row r="15" spans="1:42" ht="14.25" customHeight="1">
      <c r="A15" s="74"/>
      <c r="B15" s="74"/>
      <c r="C15" s="27"/>
      <c r="D15" s="76"/>
      <c r="E15" s="7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5"/>
    </row>
    <row r="16" spans="1:44" s="10" customFormat="1" ht="51">
      <c r="A16" s="22">
        <v>1</v>
      </c>
      <c r="B16" s="23" t="s">
        <v>13</v>
      </c>
      <c r="C16" s="24"/>
      <c r="D16" s="43">
        <f>D17+D18+D47+D48</f>
        <v>2544412.6108684074</v>
      </c>
      <c r="E16" s="48">
        <f>E17+E18+E47+E48</f>
        <v>43.67250607382627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7"/>
      <c r="AR16" s="37"/>
    </row>
    <row r="17" spans="1:44" ht="51.75" customHeight="1">
      <c r="A17" s="7">
        <v>2</v>
      </c>
      <c r="B17" s="5" t="s">
        <v>43</v>
      </c>
      <c r="C17" s="12" t="s">
        <v>52</v>
      </c>
      <c r="D17" s="44">
        <f>'2015-1'!D19/'Пр.27 1'!I12*'Пр.27 1'!H12</f>
        <v>113671.4097531854</v>
      </c>
      <c r="E17" s="25">
        <f>D17/H12/12</f>
        <v>1.9510653703182461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5"/>
      <c r="AQ17" s="39"/>
      <c r="AR17" s="39"/>
    </row>
    <row r="18" spans="1:44" ht="15">
      <c r="A18" s="7">
        <v>3</v>
      </c>
      <c r="B18" s="5" t="s">
        <v>27</v>
      </c>
      <c r="C18" s="12"/>
      <c r="D18" s="44">
        <f>D19+D20+D21+D22+D23+D24+D25+D26+D27+D28+D29+D30+D31+D32+D33+D34+D35+D36+D37+D38+D39+D40+D41+D42+D43+D44+D45+D46+D47+D48+D49</f>
        <v>2430741.201115222</v>
      </c>
      <c r="E18" s="25">
        <f>SUM(E19:E49)</f>
        <v>41.72144070350802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</row>
    <row r="19" spans="1:44" ht="25.5">
      <c r="A19" s="8">
        <v>3.1</v>
      </c>
      <c r="B19" s="5" t="s">
        <v>14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4">
      <c r="A20" s="6">
        <v>3.2</v>
      </c>
      <c r="B20" s="5" t="s">
        <v>15</v>
      </c>
      <c r="C20" s="12" t="s">
        <v>55</v>
      </c>
      <c r="D20" s="44">
        <f>'2015-1'!D22/'Пр.27 1'!I12*'Пр.27 1'!H12</f>
        <v>22849.86037011778</v>
      </c>
      <c r="E20" s="26">
        <f>D20/H12/12</f>
        <v>0.3921968715048399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8">
        <v>3.3</v>
      </c>
      <c r="B21" s="5" t="s">
        <v>16</v>
      </c>
      <c r="C21" s="12" t="s">
        <v>57</v>
      </c>
      <c r="D21" s="44">
        <f>'2015-1'!D23/'Пр.27 1'!I12*'Пр.27 1'!H12</f>
        <v>13290.961622747225</v>
      </c>
      <c r="E21" s="26">
        <f>D21/H12/12</f>
        <v>0.22812715190808333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34.5" customHeight="1">
      <c r="A22" s="6" t="s">
        <v>65</v>
      </c>
      <c r="B22" s="5" t="s">
        <v>17</v>
      </c>
      <c r="C22" s="12" t="s">
        <v>54</v>
      </c>
      <c r="D22" s="45"/>
      <c r="E22" s="26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5"/>
      <c r="AQ22" s="39"/>
      <c r="AR22" s="39"/>
    </row>
    <row r="23" spans="1:44" ht="34.5" customHeight="1">
      <c r="A23" s="6" t="s">
        <v>66</v>
      </c>
      <c r="B23" s="5" t="s">
        <v>67</v>
      </c>
      <c r="C23" s="12"/>
      <c r="D23" s="45"/>
      <c r="E23" s="2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5"/>
      <c r="AQ23" s="39"/>
      <c r="AR23" s="39"/>
    </row>
    <row r="24" spans="1:44" ht="41.25" customHeight="1">
      <c r="A24" s="6" t="s">
        <v>68</v>
      </c>
      <c r="B24" s="5" t="s">
        <v>69</v>
      </c>
      <c r="C24" s="12"/>
      <c r="D24" s="45"/>
      <c r="E24" s="2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5"/>
      <c r="AQ24" s="39"/>
      <c r="AR24" s="39"/>
    </row>
    <row r="25" spans="1:44" ht="25.5">
      <c r="A25" s="8">
        <v>3.7</v>
      </c>
      <c r="B25" s="5" t="s">
        <v>18</v>
      </c>
      <c r="C25" s="12" t="s">
        <v>55</v>
      </c>
      <c r="D25" s="45">
        <f>1195106.1/I12*H12</f>
        <v>71070.19328020426</v>
      </c>
      <c r="E25" s="26">
        <f>D25/H12/12</f>
        <v>1.219854607872894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25.5">
      <c r="A26" s="6">
        <v>3.8</v>
      </c>
      <c r="B26" s="5" t="s">
        <v>61</v>
      </c>
      <c r="C26" s="12" t="s">
        <v>55</v>
      </c>
      <c r="D26" s="45">
        <f>465900/I12*H12</f>
        <v>27705.994513162605</v>
      </c>
      <c r="E26" s="26">
        <f>D26/H12/12</f>
        <v>0.4755479549539419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25.5">
      <c r="A27" s="8">
        <v>3.9</v>
      </c>
      <c r="B27" s="5" t="s">
        <v>19</v>
      </c>
      <c r="C27" s="12" t="s">
        <v>55</v>
      </c>
      <c r="D27" s="45">
        <f>372720/I12*H12</f>
        <v>22164.795610530087</v>
      </c>
      <c r="E27" s="26">
        <f>D27/H12/12</f>
        <v>0.3804383639631536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25.5">
      <c r="A28" s="6" t="s">
        <v>28</v>
      </c>
      <c r="B28" s="5" t="s">
        <v>62</v>
      </c>
      <c r="C28" s="12" t="s">
        <v>55</v>
      </c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25.5">
      <c r="A29" s="6" t="s">
        <v>29</v>
      </c>
      <c r="B29" s="5" t="s">
        <v>63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30</v>
      </c>
      <c r="B30" s="5" t="s">
        <v>20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31</v>
      </c>
      <c r="B31" s="5" t="s">
        <v>21</v>
      </c>
      <c r="C31" s="12" t="s">
        <v>56</v>
      </c>
      <c r="D31" s="45">
        <f>1667922/I12*H12</f>
        <v>99187.46035712212</v>
      </c>
      <c r="E31" s="26">
        <f>D31/H12/12</f>
        <v>1.7024616787351121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3" customHeight="1">
      <c r="A32" s="6" t="s">
        <v>32</v>
      </c>
      <c r="B32" s="5" t="s">
        <v>70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1.25" customHeight="1">
      <c r="A33" s="6" t="s">
        <v>33</v>
      </c>
      <c r="B33" s="5" t="s">
        <v>22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41.25" customHeight="1">
      <c r="A34" s="6" t="s">
        <v>34</v>
      </c>
      <c r="B34" s="5" t="s">
        <v>71</v>
      </c>
      <c r="C34" s="12"/>
      <c r="D34" s="45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40.5" customHeight="1">
      <c r="A35" s="6" t="s">
        <v>35</v>
      </c>
      <c r="B35" s="5" t="s">
        <v>72</v>
      </c>
      <c r="C35" s="12" t="s">
        <v>52</v>
      </c>
      <c r="D35" s="46">
        <f>2743200/I12*H12</f>
        <v>163131.75391394645</v>
      </c>
      <c r="E35" s="26">
        <f>D35/H12/12</f>
        <v>2.8000067611711814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38.25">
      <c r="A36" s="6" t="s">
        <v>36</v>
      </c>
      <c r="B36" s="5" t="s">
        <v>64</v>
      </c>
      <c r="C36" s="12"/>
      <c r="D36" s="45"/>
      <c r="E36" s="2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40.5" customHeight="1">
      <c r="A37" s="6" t="s">
        <v>37</v>
      </c>
      <c r="B37" s="5" t="s">
        <v>73</v>
      </c>
      <c r="C37" s="12"/>
      <c r="D37" s="45"/>
      <c r="E37" s="26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9" customHeight="1">
      <c r="A38" s="6" t="s">
        <v>38</v>
      </c>
      <c r="B38" s="5" t="s">
        <v>74</v>
      </c>
      <c r="C38" s="12" t="s">
        <v>52</v>
      </c>
      <c r="D38" s="28">
        <f>1430400/I12*H12</f>
        <v>85062.57684401757</v>
      </c>
      <c r="E38" s="26">
        <f>D38/H12/12</f>
        <v>1.4600210233228559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39" customHeight="1">
      <c r="A39" s="6" t="s">
        <v>39</v>
      </c>
      <c r="B39" s="5" t="s">
        <v>75</v>
      </c>
      <c r="C39" s="12"/>
      <c r="D39" s="28"/>
      <c r="E39" s="2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40</v>
      </c>
      <c r="B40" s="5" t="s">
        <v>60</v>
      </c>
      <c r="C40" s="12" t="s">
        <v>52</v>
      </c>
      <c r="D40" s="45">
        <f>E40*12*H12</f>
        <v>541246.548</v>
      </c>
      <c r="E40" s="26">
        <v>9.29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133.5" customHeight="1">
      <c r="A41" s="6" t="s">
        <v>41</v>
      </c>
      <c r="B41" s="56" t="s">
        <v>86</v>
      </c>
      <c r="C41" s="12" t="s">
        <v>52</v>
      </c>
      <c r="D41" s="45">
        <f>12698825.18/I12*H12-D45</f>
        <v>717507.4135802557</v>
      </c>
      <c r="E41" s="26">
        <f>D41/H12/12</f>
        <v>12.315355907194764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44</v>
      </c>
      <c r="B42" s="5" t="s">
        <v>87</v>
      </c>
      <c r="C42" s="12" t="s">
        <v>58</v>
      </c>
      <c r="D42" s="45">
        <f>1023792/I12*H12</f>
        <v>60882.540318994994</v>
      </c>
      <c r="E42" s="26">
        <f>D42/H12/12</f>
        <v>1.0449928995454092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51">
      <c r="A43" s="6" t="s">
        <v>76</v>
      </c>
      <c r="B43" s="5" t="s">
        <v>85</v>
      </c>
      <c r="C43" s="12" t="s">
        <v>59</v>
      </c>
      <c r="D43" s="45">
        <f>5673500/I12*H12</f>
        <v>337389.9117201718</v>
      </c>
      <c r="E43" s="26">
        <f>D43/H12/12</f>
        <v>5.790988028399205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77</v>
      </c>
      <c r="B44" s="5" t="s">
        <v>23</v>
      </c>
      <c r="C44" s="16" t="s">
        <v>53</v>
      </c>
      <c r="D44" s="28">
        <f>2415000/I12*H12</f>
        <v>143614.45964646424</v>
      </c>
      <c r="E44" s="26">
        <f>D44/H12/12</f>
        <v>2.4650103267091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78</v>
      </c>
      <c r="B45" s="5" t="s">
        <v>24</v>
      </c>
      <c r="C45" s="12" t="s">
        <v>52</v>
      </c>
      <c r="D45" s="28">
        <f>110400/G46*H12</f>
        <v>37662.324047327784</v>
      </c>
      <c r="E45" s="26">
        <f>110400/12/14231.81</f>
        <v>0.6464392090675747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1:44" ht="38.25">
      <c r="A46" s="6" t="s">
        <v>79</v>
      </c>
      <c r="B46" s="5" t="s">
        <v>25</v>
      </c>
      <c r="C46" s="13" t="s">
        <v>52</v>
      </c>
      <c r="D46" s="28">
        <f>1479364.92/I12*H12</f>
        <v>87974.40729015933</v>
      </c>
      <c r="E46" s="26">
        <f>D46/H12/12</f>
        <v>1.5099999191599096</v>
      </c>
      <c r="F46" s="42"/>
      <c r="G46" s="42">
        <f>4855.1+4736.91+4639.8</f>
        <v>14231.810000000001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9"/>
      <c r="AR46" s="39"/>
    </row>
    <row r="47" spans="1:44" ht="25.5">
      <c r="A47" s="6" t="s">
        <v>42</v>
      </c>
      <c r="B47" s="5" t="s">
        <v>26</v>
      </c>
      <c r="C47" s="14" t="s">
        <v>52</v>
      </c>
      <c r="D47" s="45"/>
      <c r="E47" s="2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9"/>
      <c r="AR47" s="39"/>
    </row>
    <row r="48" spans="1:44" ht="25.5">
      <c r="A48" s="6" t="s">
        <v>46</v>
      </c>
      <c r="B48" s="5" t="s">
        <v>47</v>
      </c>
      <c r="C48" s="12" t="s">
        <v>50</v>
      </c>
      <c r="D48" s="45"/>
      <c r="E48" s="26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9"/>
      <c r="AR48" s="39"/>
    </row>
    <row r="49" spans="1:44" ht="25.5">
      <c r="A49" s="6" t="s">
        <v>48</v>
      </c>
      <c r="B49" s="5" t="s">
        <v>49</v>
      </c>
      <c r="C49" s="12" t="s">
        <v>50</v>
      </c>
      <c r="D49" s="45"/>
      <c r="E49" s="2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9"/>
      <c r="AR49" s="39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  <row r="120" spans="4:5" ht="15">
      <c r="D120" s="11"/>
      <c r="E120" s="21"/>
    </row>
    <row r="121" spans="4:5" ht="15">
      <c r="D121" s="11"/>
      <c r="E121" s="21"/>
    </row>
    <row r="122" spans="4:5" ht="15">
      <c r="D122" s="11"/>
      <c r="E122" s="21"/>
    </row>
    <row r="123" spans="4:5" ht="15">
      <c r="D123" s="11"/>
      <c r="E123" s="21"/>
    </row>
  </sheetData>
  <sheetProtection/>
  <mergeCells count="16">
    <mergeCell ref="A8:F8"/>
    <mergeCell ref="A9:F9"/>
    <mergeCell ref="A14:A15"/>
    <mergeCell ref="B14:B15"/>
    <mergeCell ref="D14:D15"/>
    <mergeCell ref="E14:E15"/>
    <mergeCell ref="A10:F10"/>
    <mergeCell ref="E1:F1"/>
    <mergeCell ref="D2:F2"/>
    <mergeCell ref="D3:F3"/>
    <mergeCell ref="A7:F7"/>
    <mergeCell ref="A1:B1"/>
    <mergeCell ref="A2:B2"/>
    <mergeCell ref="A3:B3"/>
    <mergeCell ref="A4:B4"/>
    <mergeCell ref="A5:B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119"/>
  <sheetViews>
    <sheetView workbookViewId="0" topLeftCell="A1">
      <selection activeCell="A1" sqref="A1:B4"/>
    </sheetView>
  </sheetViews>
  <sheetFormatPr defaultColWidth="9.140625" defaultRowHeight="15"/>
  <cols>
    <col min="1" max="1" width="5.8515625" style="4" customWidth="1"/>
    <col min="2" max="2" width="43.7109375" style="4" customWidth="1"/>
    <col min="3" max="3" width="17.7109375" style="4" hidden="1" customWidth="1"/>
    <col min="4" max="4" width="17.28125" style="4" customWidth="1"/>
    <col min="5" max="5" width="16.8515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/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6" ht="15.75">
      <c r="A5" s="67" t="s">
        <v>83</v>
      </c>
      <c r="B5" s="67"/>
      <c r="C5" s="67"/>
      <c r="D5" s="67"/>
      <c r="E5" s="67"/>
      <c r="F5" s="67"/>
    </row>
    <row r="6" spans="1:10" ht="15">
      <c r="A6" s="78" t="s">
        <v>110</v>
      </c>
      <c r="B6" s="79"/>
      <c r="C6" s="79"/>
      <c r="D6" s="79"/>
      <c r="E6" s="79"/>
      <c r="F6" s="79"/>
      <c r="H6" s="85"/>
      <c r="I6" s="85"/>
      <c r="J6" s="85"/>
    </row>
    <row r="7" spans="1:10" ht="15">
      <c r="A7" s="3"/>
      <c r="B7" s="3"/>
      <c r="C7" s="3"/>
      <c r="D7" s="3"/>
      <c r="E7" s="52"/>
      <c r="H7" s="85"/>
      <c r="I7" s="85"/>
      <c r="J7" s="85"/>
    </row>
    <row r="8" spans="1:10" ht="28.5">
      <c r="A8" s="9" t="s">
        <v>45</v>
      </c>
      <c r="B8" s="3"/>
      <c r="C8" s="3"/>
      <c r="D8" s="3"/>
      <c r="E8" s="47"/>
      <c r="H8" s="86">
        <f>'[1]СМЕТА'!$V$14</f>
        <v>4736.51</v>
      </c>
      <c r="I8" s="87">
        <f>'Пр.27 1'!I12</f>
        <v>81642.66</v>
      </c>
      <c r="J8" s="85"/>
    </row>
    <row r="9" spans="4:10" ht="15">
      <c r="D9" s="15"/>
      <c r="H9" s="85"/>
      <c r="I9" s="85"/>
      <c r="J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88"/>
      <c r="I10" s="88"/>
      <c r="J10" s="8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51">
      <c r="A12" s="22">
        <v>1</v>
      </c>
      <c r="B12" s="23" t="s">
        <v>13</v>
      </c>
      <c r="C12" s="24"/>
      <c r="D12" s="43">
        <f>D13+D14+D43+D44</f>
        <v>2482263.1409248663</v>
      </c>
      <c r="E12" s="48">
        <f>E13+E14+E43+E44</f>
        <v>43.67250607382627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'2015-1'!D19/'Пр.29 1'!I8*'Пр.29 1'!H8</f>
        <v>110894.88764599292</v>
      </c>
      <c r="E13" s="25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2371368.2532788734</v>
      </c>
      <c r="E14" s="25">
        <f>SUM(E15:E45)</f>
        <v>41.72144070350802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24">
      <c r="A16" s="6">
        <v>3.2</v>
      </c>
      <c r="B16" s="5" t="s">
        <v>15</v>
      </c>
      <c r="C16" s="12" t="s">
        <v>55</v>
      </c>
      <c r="D16" s="44">
        <f>'2015-1'!D22/'Пр.29 1'!I8*'Пр.29 1'!H8</f>
        <v>22291.732846216673</v>
      </c>
      <c r="E16" s="26">
        <f>D16/H8/12</f>
        <v>0.3921968715048399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25.5">
      <c r="A17" s="8">
        <v>3.3</v>
      </c>
      <c r="B17" s="5" t="s">
        <v>16</v>
      </c>
      <c r="C17" s="12" t="s">
        <v>57</v>
      </c>
      <c r="D17" s="44">
        <f>'2015-1'!D23/'Пр.29 1'!I8*'Пр.29 1'!H8</f>
        <v>12966.31843540987</v>
      </c>
      <c r="E17" s="26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2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25.5">
      <c r="A21" s="8">
        <v>3.7</v>
      </c>
      <c r="B21" s="5" t="s">
        <v>18</v>
      </c>
      <c r="C21" s="12" t="s">
        <v>55</v>
      </c>
      <c r="D21" s="45">
        <f>1195106.1/I8*H8</f>
        <v>69334.2425848325</v>
      </c>
      <c r="E21" s="26">
        <f>D21/H8/12</f>
        <v>1.2198546078728938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6">
        <v>3.8</v>
      </c>
      <c r="B22" s="5" t="s">
        <v>61</v>
      </c>
      <c r="C22" s="12" t="s">
        <v>55</v>
      </c>
      <c r="D22" s="45">
        <f>465900/I8*H8</f>
        <v>27029.25172942675</v>
      </c>
      <c r="E22" s="26">
        <f>D22/H8/12</f>
        <v>0.4755479549539419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8">
        <v>3.9</v>
      </c>
      <c r="B23" s="5" t="s">
        <v>19</v>
      </c>
      <c r="C23" s="12" t="s">
        <v>55</v>
      </c>
      <c r="D23" s="45">
        <f>372720/I8*H8</f>
        <v>21623.4013835414</v>
      </c>
      <c r="E23" s="26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28</v>
      </c>
      <c r="B24" s="5" t="s">
        <v>62</v>
      </c>
      <c r="C24" s="12" t="s">
        <v>55</v>
      </c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2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8.25">
      <c r="A27" s="6" t="s">
        <v>31</v>
      </c>
      <c r="B27" s="5" t="s">
        <v>21</v>
      </c>
      <c r="C27" s="12" t="s">
        <v>56</v>
      </c>
      <c r="D27" s="45">
        <f>1667922/I8*H8</f>
        <v>96764.72119134775</v>
      </c>
      <c r="E27" s="26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159147.12029225897</v>
      </c>
      <c r="E31" s="26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82984.85012614728</v>
      </c>
      <c r="E34" s="26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25.5">
      <c r="A36" s="6" t="s">
        <v>40</v>
      </c>
      <c r="B36" s="5" t="s">
        <v>60</v>
      </c>
      <c r="C36" s="12" t="s">
        <v>52</v>
      </c>
      <c r="D36" s="45">
        <f>E36*H8*12</f>
        <v>528026.1347999999</v>
      </c>
      <c r="E36" s="26">
        <v>9.29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33.5" customHeight="1">
      <c r="A37" s="6" t="s">
        <v>41</v>
      </c>
      <c r="B37" s="56" t="s">
        <v>86</v>
      </c>
      <c r="C37" s="12" t="s">
        <v>52</v>
      </c>
      <c r="D37" s="45">
        <f>12698825.18/I8*H8-D41</f>
        <v>699981.676895845</v>
      </c>
      <c r="E37" s="26">
        <f>D37/H8/12</f>
        <v>12.315355907194766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8.25">
      <c r="A38" s="6" t="s">
        <v>44</v>
      </c>
      <c r="B38" s="5" t="s">
        <v>87</v>
      </c>
      <c r="C38" s="12" t="s">
        <v>58</v>
      </c>
      <c r="D38" s="45">
        <f>1023792/I8*H8</f>
        <v>59395.43182350991</v>
      </c>
      <c r="E38" s="26">
        <f>D38/H8/12</f>
        <v>1.0449928995454092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1">
      <c r="A39" s="6" t="s">
        <v>76</v>
      </c>
      <c r="B39" s="5" t="s">
        <v>85</v>
      </c>
      <c r="C39" s="12" t="s">
        <v>59</v>
      </c>
      <c r="D39" s="45">
        <f>5673500/I8*H8</f>
        <v>329148.87247671746</v>
      </c>
      <c r="E39" s="26">
        <f>D39/H8/12</f>
        <v>5.790988028399205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77</v>
      </c>
      <c r="B40" s="5" t="s">
        <v>23</v>
      </c>
      <c r="C40" s="16" t="s">
        <v>53</v>
      </c>
      <c r="D40" s="28">
        <f>2415000/I8*H8</f>
        <v>140106.55275073103</v>
      </c>
      <c r="E40" s="26">
        <f>D40/H8/12</f>
        <v>2.4650103267090997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25.5">
      <c r="A41" s="6" t="s">
        <v>78</v>
      </c>
      <c r="B41" s="5" t="s">
        <v>24</v>
      </c>
      <c r="C41" s="12" t="s">
        <v>52</v>
      </c>
      <c r="D41" s="28">
        <f>110400/14231.81*H8</f>
        <v>36742.3893376879</v>
      </c>
      <c r="E41" s="26">
        <f>'Пр.27 1'!E45</f>
        <v>0.6464392090675747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79</v>
      </c>
      <c r="B42" s="5" t="s">
        <v>25</v>
      </c>
      <c r="C42" s="13" t="s">
        <v>52</v>
      </c>
      <c r="D42" s="28">
        <f>1479364.92/I8*H8</f>
        <v>85825.55660520124</v>
      </c>
      <c r="E42" s="26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42</v>
      </c>
      <c r="B43" s="5" t="s">
        <v>26</v>
      </c>
      <c r="C43" s="14" t="s">
        <v>52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46</v>
      </c>
      <c r="B44" s="5" t="s">
        <v>47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48</v>
      </c>
      <c r="B45" s="5" t="s">
        <v>49</v>
      </c>
      <c r="C45" s="12" t="s">
        <v>50</v>
      </c>
      <c r="D45" s="45"/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sheetProtection/>
  <mergeCells count="9">
    <mergeCell ref="A3:F3"/>
    <mergeCell ref="A1:B1"/>
    <mergeCell ref="A4:F4"/>
    <mergeCell ref="A5:F5"/>
    <mergeCell ref="A10:A11"/>
    <mergeCell ref="B10:B11"/>
    <mergeCell ref="D10:D11"/>
    <mergeCell ref="E10:E11"/>
    <mergeCell ref="A6:F6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G6" sqref="G6:I8"/>
    </sheetView>
  </sheetViews>
  <sheetFormatPr defaultColWidth="9.140625" defaultRowHeight="15"/>
  <cols>
    <col min="1" max="1" width="5.8515625" style="4" customWidth="1"/>
    <col min="2" max="2" width="43.57421875" style="4" customWidth="1"/>
    <col min="3" max="3" width="17.7109375" style="4" hidden="1" customWidth="1"/>
    <col min="4" max="4" width="17.421875" style="4" customWidth="1"/>
    <col min="5" max="5" width="16.8515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94</v>
      </c>
      <c r="B5" s="79"/>
      <c r="C5" s="79"/>
      <c r="D5" s="79"/>
      <c r="E5" s="79"/>
      <c r="F5" s="79"/>
    </row>
    <row r="6" spans="1:9" ht="15">
      <c r="A6" s="3"/>
      <c r="B6" s="3"/>
      <c r="C6" s="3"/>
      <c r="D6" s="3"/>
      <c r="E6" s="52"/>
      <c r="G6" s="85"/>
      <c r="H6" s="85"/>
      <c r="I6" s="85"/>
    </row>
    <row r="7" spans="1:9" ht="28.5">
      <c r="A7" s="9" t="s">
        <v>45</v>
      </c>
      <c r="B7" s="3"/>
      <c r="C7" s="3"/>
      <c r="D7" s="3"/>
      <c r="E7" s="47"/>
      <c r="G7" s="85"/>
      <c r="H7" s="86">
        <f>'[1]СМЕТА'!$W$14</f>
        <v>4639.8</v>
      </c>
      <c r="I7" s="87">
        <f>'Пр.29 1'!I8</f>
        <v>81642.66</v>
      </c>
    </row>
    <row r="8" spans="4:9" ht="15">
      <c r="D8" s="15"/>
      <c r="G8" s="8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2431580.3241760693</v>
      </c>
      <c r="E11" s="48">
        <f>E12+E13+E42+E43</f>
        <v>43.67250607382627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'2015-1'!D19/'Пр.31 1'!I7*'Пр.31 1'!H7</f>
        <v>108630.63726243118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2322949.6869136384</v>
      </c>
      <c r="E13" s="25">
        <f>SUM(E14:E44)</f>
        <v>41.72144070350802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'2015-1'!D22/'Пр.31 1'!I7*'Пр.31 1'!H7</f>
        <v>21836.580532897875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'2015-1'!D23/'Пр.31 1'!I7*'Пр.31 1'!H7</f>
        <v>12701.572313077502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67918.57691530384</v>
      </c>
      <c r="E20" s="26">
        <f>D20/H7/12</f>
        <v>1.2198546078728938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26477.368816743598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21181.89505339488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94788.98036394209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155897.65644578458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81290.46652816064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>
        <f>E35*H7*12</f>
        <v>517244.904</v>
      </c>
      <c r="E35" s="26">
        <v>9.29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41.75" customHeight="1">
      <c r="A36" s="6" t="s">
        <v>41</v>
      </c>
      <c r="B36" s="56" t="s">
        <v>86</v>
      </c>
      <c r="C36" s="12" t="s">
        <v>52</v>
      </c>
      <c r="D36" s="45">
        <f>12698825.18/I7*H7-D40</f>
        <v>685689.4600584273</v>
      </c>
      <c r="E36" s="26">
        <f>D36/H7/12</f>
        <v>12.315355907194766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58182.696663729475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322428.3150499996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137245.8589663786</v>
      </c>
      <c r="E39" s="26">
        <f>D39/H7/12</f>
        <v>2.4650103267091006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f>110400/14231.81*H7</f>
        <v>35992.1837067808</v>
      </c>
      <c r="E40" s="26">
        <f>D40/H7/12</f>
        <v>0.6464392090675747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84073.17149901779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G6" sqref="G6:J8"/>
    </sheetView>
  </sheetViews>
  <sheetFormatPr defaultColWidth="9.140625" defaultRowHeight="15"/>
  <cols>
    <col min="1" max="1" width="7.57421875" style="4" customWidth="1"/>
    <col min="2" max="2" width="44.00390625" style="4" customWidth="1"/>
    <col min="3" max="3" width="17.7109375" style="4" hidden="1" customWidth="1"/>
    <col min="4" max="4" width="17.00390625" style="4" customWidth="1"/>
    <col min="5" max="5" width="17.0039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111</v>
      </c>
      <c r="B5" s="79"/>
      <c r="C5" s="79"/>
      <c r="D5" s="79"/>
      <c r="E5" s="79"/>
      <c r="F5" s="79"/>
    </row>
    <row r="6" spans="1:10" ht="15">
      <c r="A6" s="3"/>
      <c r="B6" s="3"/>
      <c r="C6" s="3"/>
      <c r="D6" s="3"/>
      <c r="E6" s="52"/>
      <c r="G6" s="85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G7" s="85"/>
      <c r="H7" s="86">
        <f>'[1]СМЕТА'!$Y$14</f>
        <v>3675.6</v>
      </c>
      <c r="I7" s="87">
        <f>'Пр.31 1'!I7</f>
        <v>81642.66</v>
      </c>
      <c r="J7" s="85"/>
    </row>
    <row r="8" spans="4:10" ht="15">
      <c r="D8" s="15"/>
      <c r="G8" s="8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1508916.5978010027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'2015-1'!D19/'Л.4'!I7*'Л.4'!H7</f>
        <v>86056.03050170094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1422860.5672993017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'2015-1'!D22/'Л.4'!I7*'Л.4'!H7</f>
        <v>17298.705850838276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'2015-1'!D23/'Л.4'!I7*'Л.4'!H7</f>
        <v>10062.049914640213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53804.37116037131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20975.088758744507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16780.071006995608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75090.81775630533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123500.45821632954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64397.43927990587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2" customHeight="1">
      <c r="A36" s="6" t="s">
        <v>41</v>
      </c>
      <c r="B36" s="56" t="s">
        <v>86</v>
      </c>
      <c r="C36" s="12" t="s">
        <v>52</v>
      </c>
      <c r="D36" s="45">
        <f>12530025.18/I7*H7</f>
        <v>564109.0154535386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46091.71081882927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255424.2671662094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108724.70348222362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66601.86843436996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5" sqref="H5:J7"/>
    </sheetView>
  </sheetViews>
  <sheetFormatPr defaultColWidth="9.140625" defaultRowHeight="15"/>
  <cols>
    <col min="1" max="1" width="5.8515625" style="4" customWidth="1"/>
    <col min="2" max="2" width="43.8515625" style="4" customWidth="1"/>
    <col min="3" max="3" width="17.7109375" style="4" hidden="1" customWidth="1"/>
    <col min="4" max="4" width="16.28125" style="4" customWidth="1"/>
    <col min="5" max="5" width="16.57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10" ht="15">
      <c r="A5" s="78" t="s">
        <v>95</v>
      </c>
      <c r="B5" s="79"/>
      <c r="C5" s="79"/>
      <c r="D5" s="79"/>
      <c r="E5" s="79"/>
      <c r="F5" s="79"/>
      <c r="H5" s="85"/>
      <c r="I5" s="85"/>
      <c r="J5" s="85"/>
    </row>
    <row r="6" spans="1:10" ht="15">
      <c r="A6" s="3"/>
      <c r="B6" s="3"/>
      <c r="C6" s="3"/>
      <c r="D6" s="3"/>
      <c r="E6" s="52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H7" s="86">
        <f>'[1]СМЕТА'!$Z$14</f>
        <v>1487.25</v>
      </c>
      <c r="I7" s="87">
        <f>'Л.4'!I7</f>
        <v>81642.66</v>
      </c>
      <c r="J7" s="85"/>
    </row>
    <row r="8" ht="15">
      <c r="D8" s="1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610549.6272933782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'2015-1'!D19/'Л.6'!I7*'Л.6'!H7</f>
        <v>34820.66366406974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575728.9636293085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'2015-1'!D22/'Л.6'!I7*'Л.6'!H7</f>
        <v>6999.537565746878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'2015-1'!D23/'Л.6'!I7*'Л.6'!H7</f>
        <v>4071.385280103563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21770.74518670754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8487.104352063001</v>
      </c>
      <c r="E21" s="26">
        <f>D21/H7/12</f>
        <v>0.47554795495394186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6789.683481650402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30383.833580385544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49971.72066662208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26056.99520324301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41.75" customHeight="1">
      <c r="A36" s="6" t="s">
        <v>41</v>
      </c>
      <c r="B36" s="56" t="s">
        <v>86</v>
      </c>
      <c r="C36" s="12" t="s">
        <v>52</v>
      </c>
      <c r="D36" s="45">
        <f>12530025.18/I7*H7</f>
        <v>228254.1988337347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18649.988278186916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103351.76334284061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43993.03930077731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26948.968557246906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9"/>
  <sheetViews>
    <sheetView view="pageBreakPreview" zoomScaleSheetLayoutView="100" zoomScalePageLayoutView="0" workbookViewId="0" topLeftCell="A1">
      <selection activeCell="A1" sqref="A1:F4"/>
    </sheetView>
  </sheetViews>
  <sheetFormatPr defaultColWidth="9.140625" defaultRowHeight="15"/>
  <cols>
    <col min="1" max="1" width="5.8515625" style="4" customWidth="1"/>
    <col min="2" max="2" width="46.421875" style="4" customWidth="1"/>
    <col min="3" max="3" width="0.2890625" style="4" hidden="1" customWidth="1"/>
    <col min="4" max="4" width="19.140625" style="4" customWidth="1"/>
    <col min="5" max="5" width="15.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/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6" ht="15.75">
      <c r="A5" s="67" t="s">
        <v>83</v>
      </c>
      <c r="B5" s="67"/>
      <c r="C5" s="67"/>
      <c r="D5" s="67"/>
      <c r="E5" s="67"/>
      <c r="F5" s="67"/>
    </row>
    <row r="6" spans="1:10" ht="15">
      <c r="A6" s="78" t="s">
        <v>102</v>
      </c>
      <c r="B6" s="79"/>
      <c r="C6" s="79"/>
      <c r="D6" s="79"/>
      <c r="E6" s="79"/>
      <c r="F6" s="79"/>
      <c r="H6" s="85"/>
      <c r="I6" s="85"/>
      <c r="J6" s="85"/>
    </row>
    <row r="7" spans="1:10" ht="15">
      <c r="A7" s="3"/>
      <c r="B7" s="3"/>
      <c r="C7" s="3"/>
      <c r="D7" s="3"/>
      <c r="E7" s="52"/>
      <c r="H7" s="85"/>
      <c r="I7" s="85"/>
      <c r="J7" s="85"/>
    </row>
    <row r="8" spans="1:10" ht="28.5">
      <c r="A8" s="9" t="s">
        <v>45</v>
      </c>
      <c r="B8" s="3"/>
      <c r="C8" s="3"/>
      <c r="D8" s="3"/>
      <c r="E8" s="47"/>
      <c r="H8" s="86">
        <f>'[1]СМЕТА'!$L$14</f>
        <v>5823.7</v>
      </c>
      <c r="I8" s="87">
        <f>'2015-1'!J15</f>
        <v>81642.66</v>
      </c>
      <c r="J8" s="85"/>
    </row>
    <row r="9" spans="4:10" ht="15">
      <c r="D9" s="15"/>
      <c r="H9" s="85"/>
      <c r="I9" s="85"/>
      <c r="J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88"/>
      <c r="I10" s="88"/>
      <c r="J10" s="8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38.25">
      <c r="A12" s="22">
        <v>1</v>
      </c>
      <c r="B12" s="23" t="s">
        <v>13</v>
      </c>
      <c r="C12" s="24"/>
      <c r="D12" s="43">
        <f>D13+D14+D43+D44</f>
        <v>3051527.5623999774</v>
      </c>
      <c r="E12" s="58">
        <f>E13+E14+E43+E44</f>
        <v>43.66536111635755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'2015-1'!D19/'Л.33'!I8*'Л.33'!H8</f>
        <v>136349.03276546844</v>
      </c>
      <c r="E13" s="59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2915178.529634509</v>
      </c>
      <c r="E14" s="59">
        <f>SUM(E15:E45)</f>
        <v>41.714295746039305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6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32.25" customHeight="1">
      <c r="A16" s="6">
        <v>3.2</v>
      </c>
      <c r="B16" s="5" t="s">
        <v>15</v>
      </c>
      <c r="C16" s="12" t="s">
        <v>55</v>
      </c>
      <c r="D16" s="44">
        <f>'2015-1'!D22/'Л.33'!I8*'Л.33'!H8</f>
        <v>27408.443046992834</v>
      </c>
      <c r="E16" s="60">
        <f>D16/H8/12</f>
        <v>0.3921968715048399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5.25" customHeight="1">
      <c r="A17" s="8">
        <v>3.3</v>
      </c>
      <c r="B17" s="5" t="s">
        <v>16</v>
      </c>
      <c r="C17" s="12" t="s">
        <v>57</v>
      </c>
      <c r="D17" s="44">
        <f>'2015-1'!D23/'Л.33'!I8*'Л.33'!H8</f>
        <v>15942.52913480526</v>
      </c>
      <c r="E17" s="60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6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6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6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43.5" customHeight="1">
      <c r="A21" s="8">
        <v>3.7</v>
      </c>
      <c r="B21" s="5" t="s">
        <v>18</v>
      </c>
      <c r="C21" s="12" t="s">
        <v>55</v>
      </c>
      <c r="D21" s="45">
        <f>1195106.1/I8*H8</f>
        <v>85248.80735843247</v>
      </c>
      <c r="E21" s="60">
        <f>D21/H8/12</f>
        <v>1.219854607872894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32.25" customHeight="1">
      <c r="A22" s="6">
        <v>3.8</v>
      </c>
      <c r="B22" s="5" t="s">
        <v>61</v>
      </c>
      <c r="C22" s="12" t="s">
        <v>55</v>
      </c>
      <c r="D22" s="45">
        <f>465900/I8*H8</f>
        <v>33233.38350318326</v>
      </c>
      <c r="E22" s="60">
        <f>D22/H8/12</f>
        <v>0.4755479549539419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39.75" customHeight="1">
      <c r="A23" s="8">
        <v>3.9</v>
      </c>
      <c r="B23" s="5" t="s">
        <v>19</v>
      </c>
      <c r="C23" s="12" t="s">
        <v>55</v>
      </c>
      <c r="D23" s="45">
        <f>372720/I8*H8</f>
        <v>26586.70680254661</v>
      </c>
      <c r="E23" s="60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41.25" customHeight="1">
      <c r="A24" s="6" t="s">
        <v>28</v>
      </c>
      <c r="B24" s="5" t="s">
        <v>62</v>
      </c>
      <c r="C24" s="12" t="s">
        <v>55</v>
      </c>
      <c r="D24" s="45"/>
      <c r="E24" s="60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60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60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51.75" customHeight="1">
      <c r="A27" s="6" t="s">
        <v>31</v>
      </c>
      <c r="B27" s="5" t="s">
        <v>21</v>
      </c>
      <c r="C27" s="12" t="s">
        <v>56</v>
      </c>
      <c r="D27" s="45">
        <f>1667922/I8*H8</f>
        <v>118975.51294139607</v>
      </c>
      <c r="E27" s="60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60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60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6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195676.7925003913</v>
      </c>
      <c r="E31" s="60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60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60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102032.69320230378</v>
      </c>
      <c r="E34" s="60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60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39.75" customHeight="1">
      <c r="A36" s="6" t="s">
        <v>40</v>
      </c>
      <c r="B36" s="5" t="s">
        <v>60</v>
      </c>
      <c r="C36" s="12" t="s">
        <v>52</v>
      </c>
      <c r="D36" s="63">
        <f>E36*12*H8</f>
        <v>649226.0759999999</v>
      </c>
      <c r="E36" s="64">
        <v>9.29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33.5" customHeight="1">
      <c r="A37" s="6" t="s">
        <v>41</v>
      </c>
      <c r="B37" s="56" t="s">
        <v>86</v>
      </c>
      <c r="C37" s="12" t="s">
        <v>52</v>
      </c>
      <c r="D37" s="45">
        <f>12691825.18/I8*H8</f>
        <v>905327.9535571967</v>
      </c>
      <c r="E37" s="60">
        <f>D37/H8/12</f>
        <v>12.954650158793617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7" customHeight="1">
      <c r="A38" s="6" t="s">
        <v>44</v>
      </c>
      <c r="B38" s="5" t="s">
        <v>87</v>
      </c>
      <c r="C38" s="12" t="s">
        <v>58</v>
      </c>
      <c r="D38" s="45">
        <f>1023792/I8*H8</f>
        <v>73028.70178899118</v>
      </c>
      <c r="E38" s="60">
        <f>D38/H8/12</f>
        <v>1.044992899545409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8.5" customHeight="1">
      <c r="A39" s="6" t="s">
        <v>76</v>
      </c>
      <c r="B39" s="5" t="s">
        <v>85</v>
      </c>
      <c r="C39" s="12" t="s">
        <v>59</v>
      </c>
      <c r="D39" s="45">
        <f>5673500/I8*H8</f>
        <v>404699.7237718614</v>
      </c>
      <c r="E39" s="60">
        <f>D39/H8/12</f>
        <v>5.790988028399205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45" customHeight="1">
      <c r="A40" s="6" t="s">
        <v>77</v>
      </c>
      <c r="B40" s="5" t="s">
        <v>23</v>
      </c>
      <c r="C40" s="16" t="s">
        <v>53</v>
      </c>
      <c r="D40" s="28">
        <f>2415000/I8*H8</f>
        <v>172265.76767586943</v>
      </c>
      <c r="E40" s="60">
        <f>D40/H8/12</f>
        <v>2.4650103267091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48" customHeight="1">
      <c r="A41" s="6" t="s">
        <v>78</v>
      </c>
      <c r="B41" s="5" t="s">
        <v>24</v>
      </c>
      <c r="C41" s="12" t="s">
        <v>52</v>
      </c>
      <c r="D41" s="28">
        <v>0</v>
      </c>
      <c r="E41" s="60">
        <f>D41/H8/12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60" customHeight="1">
      <c r="A42" s="6" t="s">
        <v>79</v>
      </c>
      <c r="B42" s="5" t="s">
        <v>25</v>
      </c>
      <c r="C42" s="13" t="s">
        <v>52</v>
      </c>
      <c r="D42" s="28">
        <f>1479364.92/I8*H8</f>
        <v>105525.43835053878</v>
      </c>
      <c r="E42" s="60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52.5" customHeight="1">
      <c r="A43" s="6" t="s">
        <v>42</v>
      </c>
      <c r="B43" s="5" t="s">
        <v>26</v>
      </c>
      <c r="C43" s="14" t="s">
        <v>52</v>
      </c>
      <c r="D43" s="45"/>
      <c r="E43" s="60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56.25" customHeight="1">
      <c r="A44" s="6" t="s">
        <v>46</v>
      </c>
      <c r="B44" s="5" t="s">
        <v>47</v>
      </c>
      <c r="C44" s="12" t="s">
        <v>50</v>
      </c>
      <c r="D44" s="45"/>
      <c r="E44" s="6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48" customHeight="1">
      <c r="A45" s="6" t="s">
        <v>48</v>
      </c>
      <c r="B45" s="5" t="s">
        <v>49</v>
      </c>
      <c r="C45" s="12" t="s">
        <v>50</v>
      </c>
      <c r="D45" s="45"/>
      <c r="E45" s="6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61"/>
    </row>
    <row r="47" spans="4:5" ht="15">
      <c r="D47" s="11"/>
      <c r="E47" s="6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sheetProtection/>
  <mergeCells count="9">
    <mergeCell ref="A3:F3"/>
    <mergeCell ref="A1:B1"/>
    <mergeCell ref="A4:F4"/>
    <mergeCell ref="A5:F5"/>
    <mergeCell ref="A10:A11"/>
    <mergeCell ref="B10:B11"/>
    <mergeCell ref="D10:D11"/>
    <mergeCell ref="E10:E11"/>
    <mergeCell ref="A6:F6"/>
  </mergeCells>
  <printOptions horizontalCentered="1" verticalCentered="1"/>
  <pageMargins left="0.7086614173228347" right="0.7086614173228347" top="0.31496062992125984" bottom="0.3937007874015748" header="0.31496062992125984" footer="0.31496062992125984"/>
  <pageSetup horizontalDpi="600" verticalDpi="600" orientation="portrait" paperSize="9" scale="89" r:id="rId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7" sqref="H7:J7"/>
    </sheetView>
  </sheetViews>
  <sheetFormatPr defaultColWidth="9.140625" defaultRowHeight="15"/>
  <cols>
    <col min="1" max="1" width="5.8515625" style="4" customWidth="1"/>
    <col min="2" max="2" width="43.8515625" style="4" customWidth="1"/>
    <col min="3" max="3" width="17.7109375" style="4" hidden="1" customWidth="1"/>
    <col min="4" max="4" width="17.00390625" style="4" customWidth="1"/>
    <col min="5" max="5" width="17.71093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96</v>
      </c>
      <c r="B5" s="79"/>
      <c r="C5" s="79"/>
      <c r="D5" s="79"/>
      <c r="E5" s="79"/>
      <c r="F5" s="79"/>
    </row>
    <row r="6" spans="1:5" ht="15">
      <c r="A6" s="3"/>
      <c r="B6" s="3"/>
      <c r="C6" s="3"/>
      <c r="D6" s="3"/>
      <c r="E6" s="52"/>
    </row>
    <row r="7" spans="1:10" ht="28.5">
      <c r="A7" s="9" t="s">
        <v>45</v>
      </c>
      <c r="B7" s="3"/>
      <c r="C7" s="3"/>
      <c r="D7" s="3"/>
      <c r="E7" s="47"/>
      <c r="H7" s="86">
        <f>'[1]СМЕТА'!$AA$14</f>
        <v>3662.9</v>
      </c>
      <c r="I7" s="87">
        <f>'Л.6'!I7</f>
        <v>81642.66</v>
      </c>
      <c r="J7" s="85"/>
    </row>
    <row r="8" ht="15">
      <c r="D8" s="1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1503702.9617165339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'2015-1'!D19/'Л.8'!I7*'Л.8'!H7</f>
        <v>85758.68813926444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1417944.2735772694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'2015-1'!D22/'Л.8'!I7*'Л.8'!H7</f>
        <v>17238.935047620937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'2015-1'!D23/'Л.8'!I7*'Л.8'!H7</f>
        <v>10027.283336689421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53618.465318131486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20902.615250409526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16722.092200327625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74831.3625964661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123073.73718592705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64174.93207595147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41.75" customHeight="1">
      <c r="A36" s="6" t="s">
        <v>41</v>
      </c>
      <c r="B36" s="56" t="s">
        <v>86</v>
      </c>
      <c r="C36" s="12" t="s">
        <v>52</v>
      </c>
      <c r="D36" s="45">
        <f>12530025.18/I7*H7</f>
        <v>562159.8957190028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45932.45390093855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254541.7205906814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108349.03590843316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66371.74444668999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37">
      <selection activeCell="H6" sqref="H6:J9"/>
    </sheetView>
  </sheetViews>
  <sheetFormatPr defaultColWidth="9.140625" defaultRowHeight="15"/>
  <cols>
    <col min="1" max="1" width="7.140625" style="4" customWidth="1"/>
    <col min="2" max="2" width="44.421875" style="4" customWidth="1"/>
    <col min="3" max="3" width="17.7109375" style="4" hidden="1" customWidth="1"/>
    <col min="4" max="4" width="17.57421875" style="4" customWidth="1"/>
    <col min="5" max="5" width="16.71093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97</v>
      </c>
      <c r="B5" s="79"/>
      <c r="C5" s="79"/>
      <c r="D5" s="79"/>
      <c r="E5" s="79"/>
      <c r="F5" s="79"/>
    </row>
    <row r="6" spans="1:10" ht="15">
      <c r="A6" s="3"/>
      <c r="B6" s="3"/>
      <c r="C6" s="3"/>
      <c r="D6" s="3"/>
      <c r="E6" s="52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H7" s="86">
        <f>'[1]СМЕТА'!$AB$14</f>
        <v>1479.8</v>
      </c>
      <c r="I7" s="87">
        <f>'Л.8'!I7</f>
        <v>81642.66</v>
      </c>
      <c r="J7" s="85"/>
    </row>
    <row r="8" spans="4:10" ht="15">
      <c r="D8" s="1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88"/>
      <c r="I9" s="88"/>
      <c r="J9" s="88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607491.2344721741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'2015-1'!D19/'Л.10'!I7*'Л.10'!H7</f>
        <v>34646.23841996329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572844.9960522108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'2015-1'!D22/'Л.10'!I7*'Л.10'!H7</f>
        <v>6964.475165434345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'2015-1'!D23/'Л.10'!I7*'Л.10'!H7</f>
        <v>4050.990712722981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21661.690184763702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8444.590364890119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6755.672291912096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30231.633506306625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49721.40006217337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25926.469323757945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2" customHeight="1">
      <c r="A36" s="6" t="s">
        <v>41</v>
      </c>
      <c r="B36" s="56" t="s">
        <v>86</v>
      </c>
      <c r="C36" s="12" t="s">
        <v>52</v>
      </c>
      <c r="D36" s="45">
        <f>12530025.18/I7*H7</f>
        <v>227110.8175721369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18556.565912967555</v>
      </c>
      <c r="E37" s="26">
        <f>D37/H7/12</f>
        <v>1.044992899545409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102834.04901310173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43772.667377569516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26813.97456447401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5" sqref="H5:I9"/>
    </sheetView>
  </sheetViews>
  <sheetFormatPr defaultColWidth="9.140625" defaultRowHeight="15"/>
  <cols>
    <col min="1" max="1" width="6.57421875" style="4" customWidth="1"/>
    <col min="2" max="2" width="43.8515625" style="4" customWidth="1"/>
    <col min="3" max="3" width="17.7109375" style="4" hidden="1" customWidth="1"/>
    <col min="4" max="4" width="17.421875" style="4" customWidth="1"/>
    <col min="5" max="5" width="17.281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9" ht="15">
      <c r="A5" s="78" t="s">
        <v>98</v>
      </c>
      <c r="B5" s="79"/>
      <c r="C5" s="79"/>
      <c r="D5" s="79"/>
      <c r="E5" s="79"/>
      <c r="F5" s="79"/>
      <c r="H5" s="85"/>
      <c r="I5" s="85"/>
    </row>
    <row r="6" spans="1:9" ht="15">
      <c r="A6" s="3"/>
      <c r="B6" s="3"/>
      <c r="C6" s="3"/>
      <c r="D6" s="3"/>
      <c r="E6" s="52"/>
      <c r="H6" s="85"/>
      <c r="I6" s="85"/>
    </row>
    <row r="7" spans="1:9" ht="28.5">
      <c r="A7" s="9" t="s">
        <v>45</v>
      </c>
      <c r="B7" s="3"/>
      <c r="C7" s="3"/>
      <c r="D7" s="3"/>
      <c r="E7" s="47"/>
      <c r="H7" s="86">
        <f>'[1]СМЕТА'!$AC$14</f>
        <v>3351.4</v>
      </c>
      <c r="I7" s="87">
        <f>'Л.10'!I7</f>
        <v>81642.66</v>
      </c>
    </row>
    <row r="8" spans="4:9" ht="15">
      <c r="D8" s="1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88"/>
      <c r="I9" s="8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1375825.1947628357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'2015-1'!D19/'Л.12'!I7*'Л.12'!H7</f>
        <v>78465.60578501484</v>
      </c>
      <c r="E12" s="25">
        <f>D12/H7/12</f>
        <v>1.951065370318246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1297359.588977821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'2015-1'!D22/'Л.12'!I7*'Л.12'!H7</f>
        <v>15772.903141935847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'2015-1'!D23/'Л.12'!I7*'Л.12'!H7</f>
        <v>9174.544042857005</v>
      </c>
      <c r="E16" s="26">
        <f>D16/H7/12</f>
        <v>0.2281271519080833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49058.648793902605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19125.01699479169</v>
      </c>
      <c r="E21" s="26">
        <f>D21/H7/12</f>
        <v>0.47554795495394186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15300.013595833356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68467.56084135426</v>
      </c>
      <c r="E26" s="26">
        <f>D26/H7/12</f>
        <v>1.7024616787351123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112607.31191266917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58717.37349077063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6.5" customHeight="1">
      <c r="A36" s="6" t="s">
        <v>41</v>
      </c>
      <c r="B36" s="56" t="s">
        <v>86</v>
      </c>
      <c r="C36" s="12" t="s">
        <v>52</v>
      </c>
      <c r="D36" s="45">
        <f>12530025.18/I7*H7</f>
        <v>514352.74632467877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42026.27044243781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232895.00734052516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99134.82730719454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60727.364748870255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123"/>
  <sheetViews>
    <sheetView workbookViewId="0" topLeftCell="A1">
      <selection activeCell="H9" sqref="H9:J12"/>
    </sheetView>
  </sheetViews>
  <sheetFormatPr defaultColWidth="9.140625" defaultRowHeight="15"/>
  <cols>
    <col min="1" max="1" width="6.7109375" style="4" customWidth="1"/>
    <col min="2" max="2" width="44.8515625" style="4" customWidth="1"/>
    <col min="3" max="3" width="17.7109375" style="4" hidden="1" customWidth="1"/>
    <col min="4" max="4" width="16.140625" style="4" customWidth="1"/>
    <col min="5" max="5" width="16.71093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6" ht="15.75" customHeight="1">
      <c r="A1" s="83"/>
      <c r="B1" s="84"/>
      <c r="C1" s="49"/>
      <c r="D1" s="50"/>
      <c r="E1" s="80"/>
      <c r="F1" s="81"/>
    </row>
    <row r="2" spans="1:6" ht="15">
      <c r="A2" s="84"/>
      <c r="B2" s="84"/>
      <c r="C2" s="49"/>
      <c r="D2" s="82"/>
      <c r="E2" s="81"/>
      <c r="F2" s="81"/>
    </row>
    <row r="3" spans="1:6" ht="15">
      <c r="A3" s="84"/>
      <c r="B3" s="84"/>
      <c r="C3" s="49"/>
      <c r="D3" s="82"/>
      <c r="E3" s="81"/>
      <c r="F3" s="81"/>
    </row>
    <row r="4" spans="1:5" ht="15">
      <c r="A4" s="84"/>
      <c r="B4" s="84"/>
      <c r="C4" s="49"/>
      <c r="D4" s="49"/>
      <c r="E4" s="20"/>
    </row>
    <row r="5" spans="1:5" ht="15">
      <c r="A5" s="84"/>
      <c r="B5" s="84"/>
      <c r="C5" s="49"/>
      <c r="D5" s="49"/>
      <c r="E5" s="20"/>
    </row>
    <row r="6" spans="1:5" ht="15">
      <c r="A6" s="51"/>
      <c r="B6" s="51"/>
      <c r="C6" s="49"/>
      <c r="D6" s="49"/>
      <c r="E6" s="20"/>
    </row>
    <row r="7" spans="1:6" ht="15.75">
      <c r="A7" s="67" t="s">
        <v>81</v>
      </c>
      <c r="B7" s="67"/>
      <c r="C7" s="67"/>
      <c r="D7" s="67"/>
      <c r="E7" s="67"/>
      <c r="F7" s="67"/>
    </row>
    <row r="8" spans="1:6" ht="15.75">
      <c r="A8" s="67" t="s">
        <v>82</v>
      </c>
      <c r="B8" s="67"/>
      <c r="C8" s="67"/>
      <c r="D8" s="67"/>
      <c r="E8" s="67"/>
      <c r="F8" s="67"/>
    </row>
    <row r="9" spans="1:10" ht="15.75">
      <c r="A9" s="67" t="s">
        <v>83</v>
      </c>
      <c r="B9" s="67"/>
      <c r="C9" s="67"/>
      <c r="D9" s="67"/>
      <c r="E9" s="67"/>
      <c r="F9" s="67"/>
      <c r="H9" s="85"/>
      <c r="I9" s="85"/>
      <c r="J9" s="85"/>
    </row>
    <row r="10" spans="1:10" ht="15">
      <c r="A10" s="78" t="s">
        <v>112</v>
      </c>
      <c r="B10" s="79"/>
      <c r="C10" s="79"/>
      <c r="D10" s="79"/>
      <c r="E10" s="79"/>
      <c r="F10" s="79"/>
      <c r="H10" s="85"/>
      <c r="I10" s="85"/>
      <c r="J10" s="85"/>
    </row>
    <row r="11" spans="1:10" ht="15">
      <c r="A11" s="3"/>
      <c r="B11" s="3"/>
      <c r="C11" s="3"/>
      <c r="D11" s="3"/>
      <c r="E11" s="52"/>
      <c r="H11" s="85"/>
      <c r="I11" s="85"/>
      <c r="J11" s="85"/>
    </row>
    <row r="12" spans="1:10" ht="28.5">
      <c r="A12" s="9" t="s">
        <v>45</v>
      </c>
      <c r="B12" s="3"/>
      <c r="C12" s="3"/>
      <c r="D12" s="3"/>
      <c r="E12" s="47"/>
      <c r="H12" s="86">
        <f>'[1]СМЕТА'!$S$14</f>
        <v>3672.5</v>
      </c>
      <c r="I12" s="87">
        <f>'Л.12'!I7</f>
        <v>81642.66</v>
      </c>
      <c r="J12" s="85"/>
    </row>
    <row r="13" ht="15">
      <c r="D13" s="15"/>
    </row>
    <row r="14" spans="1:42" ht="42" customHeight="1">
      <c r="A14" s="74" t="s">
        <v>8</v>
      </c>
      <c r="B14" s="74" t="s">
        <v>4</v>
      </c>
      <c r="C14" s="27" t="s">
        <v>5</v>
      </c>
      <c r="D14" s="75" t="s">
        <v>6</v>
      </c>
      <c r="E14" s="77" t="s">
        <v>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</row>
    <row r="15" spans="1:42" ht="14.25" customHeight="1">
      <c r="A15" s="74"/>
      <c r="B15" s="74"/>
      <c r="C15" s="27"/>
      <c r="D15" s="76"/>
      <c r="E15" s="7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5"/>
    </row>
    <row r="16" spans="1:44" s="10" customFormat="1" ht="38.25">
      <c r="A16" s="22">
        <v>1</v>
      </c>
      <c r="B16" s="23" t="s">
        <v>13</v>
      </c>
      <c r="C16" s="24"/>
      <c r="D16" s="43">
        <f>D17+D18+D47+D48</f>
        <v>1507643.9779693605</v>
      </c>
      <c r="E16" s="48">
        <f>E17+E18+E47+E48</f>
        <v>34.21021052800909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7"/>
      <c r="AR16" s="37"/>
    </row>
    <row r="17" spans="1:44" ht="51.75" customHeight="1">
      <c r="A17" s="7">
        <v>2</v>
      </c>
      <c r="B17" s="5" t="s">
        <v>43</v>
      </c>
      <c r="C17" s="12" t="s">
        <v>52</v>
      </c>
      <c r="D17" s="44">
        <f>'2015-1'!D19/'П.23'!I12*'П.23'!H12</f>
        <v>85983.4508699251</v>
      </c>
      <c r="E17" s="25">
        <f>D17/H12/12</f>
        <v>1.9510653703182461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5"/>
      <c r="AQ17" s="39"/>
      <c r="AR17" s="39"/>
    </row>
    <row r="18" spans="1:44" ht="15">
      <c r="A18" s="7">
        <v>3</v>
      </c>
      <c r="B18" s="5" t="s">
        <v>27</v>
      </c>
      <c r="C18" s="12"/>
      <c r="D18" s="44">
        <f>D19+D20+D21+D22+D23+D24+D25+D26+D27+D28+D29+D30+D31+D32+D33+D34+D35+D36+D37+D38+D39+D40+D41+D42+D43+D44+D45+D46+D47+D48+D49</f>
        <v>1421660.5270994355</v>
      </c>
      <c r="E18" s="25">
        <f>SUM(E19:E49)</f>
        <v>32.259145157690845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</row>
    <row r="19" spans="1:44" ht="25.5">
      <c r="A19" s="8">
        <v>3.1</v>
      </c>
      <c r="B19" s="5" t="s">
        <v>14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4">
      <c r="A20" s="6">
        <v>3.2</v>
      </c>
      <c r="B20" s="5" t="s">
        <v>15</v>
      </c>
      <c r="C20" s="12" t="s">
        <v>55</v>
      </c>
      <c r="D20" s="44">
        <f>'2015-1'!D22/'П.23'!I12*'П.23'!H12</f>
        <v>17284.116127218294</v>
      </c>
      <c r="E20" s="26">
        <f>D20/H12/12</f>
        <v>0.3921968715048399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8">
        <v>3.3</v>
      </c>
      <c r="B21" s="5" t="s">
        <v>16</v>
      </c>
      <c r="C21" s="12" t="s">
        <v>57</v>
      </c>
      <c r="D21" s="44">
        <f>'2015-1'!D23/'П.23'!I12*'П.23'!H12</f>
        <v>10053.563584589232</v>
      </c>
      <c r="E21" s="26">
        <f>D21/H12/12</f>
        <v>0.22812715190808333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34.5" customHeight="1">
      <c r="A22" s="6" t="s">
        <v>65</v>
      </c>
      <c r="B22" s="5" t="s">
        <v>17</v>
      </c>
      <c r="C22" s="12" t="s">
        <v>54</v>
      </c>
      <c r="D22" s="45"/>
      <c r="E22" s="26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5"/>
      <c r="AQ22" s="39"/>
      <c r="AR22" s="39"/>
    </row>
    <row r="23" spans="1:44" ht="34.5" customHeight="1">
      <c r="A23" s="6" t="s">
        <v>66</v>
      </c>
      <c r="B23" s="5" t="s">
        <v>67</v>
      </c>
      <c r="C23" s="12"/>
      <c r="D23" s="45"/>
      <c r="E23" s="2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5"/>
      <c r="AQ23" s="39"/>
      <c r="AR23" s="39"/>
    </row>
    <row r="24" spans="1:44" ht="41.25" customHeight="1">
      <c r="A24" s="6" t="s">
        <v>68</v>
      </c>
      <c r="B24" s="5" t="s">
        <v>69</v>
      </c>
      <c r="C24" s="12"/>
      <c r="D24" s="45"/>
      <c r="E24" s="2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5"/>
      <c r="AQ24" s="39"/>
      <c r="AR24" s="39"/>
    </row>
    <row r="25" spans="1:44" ht="25.5">
      <c r="A25" s="8">
        <v>3.7</v>
      </c>
      <c r="B25" s="5" t="s">
        <v>18</v>
      </c>
      <c r="C25" s="12" t="s">
        <v>55</v>
      </c>
      <c r="D25" s="45">
        <f>1195106.1/I12*H12</f>
        <v>53758.99256895844</v>
      </c>
      <c r="E25" s="26">
        <f>D25/H12/12</f>
        <v>1.219854607872894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25.5">
      <c r="A26" s="6">
        <v>3.8</v>
      </c>
      <c r="B26" s="5" t="s">
        <v>61</v>
      </c>
      <c r="C26" s="12" t="s">
        <v>55</v>
      </c>
      <c r="D26" s="45">
        <f>465900/I12*H12</f>
        <v>20957.398374820223</v>
      </c>
      <c r="E26" s="26">
        <f>D26/H12/12</f>
        <v>0.4755479549539419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25.5">
      <c r="A27" s="8">
        <v>3.9</v>
      </c>
      <c r="B27" s="5" t="s">
        <v>19</v>
      </c>
      <c r="C27" s="12" t="s">
        <v>55</v>
      </c>
      <c r="D27" s="45">
        <f>372720/I12*H12</f>
        <v>16765.918699856178</v>
      </c>
      <c r="E27" s="26">
        <f>D27/H12/12</f>
        <v>0.3804383639631536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25.5">
      <c r="A28" s="6" t="s">
        <v>28</v>
      </c>
      <c r="B28" s="5" t="s">
        <v>62</v>
      </c>
      <c r="C28" s="12" t="s">
        <v>55</v>
      </c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25.5">
      <c r="A29" s="6" t="s">
        <v>29</v>
      </c>
      <c r="B29" s="5" t="s">
        <v>63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30</v>
      </c>
      <c r="B30" s="5" t="s">
        <v>20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31</v>
      </c>
      <c r="B31" s="5" t="s">
        <v>21</v>
      </c>
      <c r="C31" s="12" t="s">
        <v>56</v>
      </c>
      <c r="D31" s="45">
        <f>1667922/I12*H12</f>
        <v>75027.4861818564</v>
      </c>
      <c r="E31" s="26">
        <f>D31/H12/12</f>
        <v>1.7024616787351121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3" customHeight="1">
      <c r="A32" s="6" t="s">
        <v>32</v>
      </c>
      <c r="B32" s="5" t="s">
        <v>70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1.25" customHeight="1">
      <c r="A33" s="6" t="s">
        <v>33</v>
      </c>
      <c r="B33" s="5" t="s">
        <v>22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41.25" customHeight="1">
      <c r="A34" s="6" t="s">
        <v>34</v>
      </c>
      <c r="B34" s="5" t="s">
        <v>71</v>
      </c>
      <c r="C34" s="12"/>
      <c r="D34" s="45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40.5" customHeight="1">
      <c r="A35" s="6" t="s">
        <v>35</v>
      </c>
      <c r="B35" s="5" t="s">
        <v>72</v>
      </c>
      <c r="C35" s="12" t="s">
        <v>52</v>
      </c>
      <c r="D35" s="46">
        <f>2743200/I12*H12</f>
        <v>123396.29796481397</v>
      </c>
      <c r="E35" s="26">
        <f>D35/H12/12</f>
        <v>2.8000067611711814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38.25">
      <c r="A36" s="6" t="s">
        <v>36</v>
      </c>
      <c r="B36" s="5" t="s">
        <v>64</v>
      </c>
      <c r="C36" s="12"/>
      <c r="D36" s="45"/>
      <c r="E36" s="2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40.5" customHeight="1">
      <c r="A37" s="6" t="s">
        <v>37</v>
      </c>
      <c r="B37" s="5" t="s">
        <v>73</v>
      </c>
      <c r="C37" s="12"/>
      <c r="D37" s="45"/>
      <c r="E37" s="26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9" customHeight="1">
      <c r="A38" s="6" t="s">
        <v>38</v>
      </c>
      <c r="B38" s="5" t="s">
        <v>74</v>
      </c>
      <c r="C38" s="12" t="s">
        <v>52</v>
      </c>
      <c r="D38" s="28">
        <f>1430400/I12*H12</f>
        <v>64343.12649783826</v>
      </c>
      <c r="E38" s="26">
        <f>D38/H12/12</f>
        <v>1.4600210233228559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39" customHeight="1">
      <c r="A39" s="6" t="s">
        <v>39</v>
      </c>
      <c r="B39" s="5" t="s">
        <v>75</v>
      </c>
      <c r="C39" s="12"/>
      <c r="D39" s="28"/>
      <c r="E39" s="2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40</v>
      </c>
      <c r="B40" s="5" t="s">
        <v>60</v>
      </c>
      <c r="C40" s="12" t="s">
        <v>52</v>
      </c>
      <c r="D40" s="45">
        <v>0</v>
      </c>
      <c r="E40" s="26"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138.75" customHeight="1">
      <c r="A41" s="6" t="s">
        <v>41</v>
      </c>
      <c r="B41" s="56" t="s">
        <v>86</v>
      </c>
      <c r="C41" s="12" t="s">
        <v>52</v>
      </c>
      <c r="D41" s="45">
        <f>12530025.18/I12*H12</f>
        <v>563633.246069518</v>
      </c>
      <c r="E41" s="26">
        <f>D41/H12/12</f>
        <v>12.789499570445157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44</v>
      </c>
      <c r="B42" s="5" t="s">
        <v>87</v>
      </c>
      <c r="C42" s="12" t="s">
        <v>58</v>
      </c>
      <c r="D42" s="45">
        <f>1023792/I12*H12</f>
        <v>46052.83708296618</v>
      </c>
      <c r="E42" s="26">
        <f>D42/H12/12</f>
        <v>1.0449928995454092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51">
      <c r="A43" s="6" t="s">
        <v>76</v>
      </c>
      <c r="B43" s="5" t="s">
        <v>85</v>
      </c>
      <c r="C43" s="12" t="s">
        <v>59</v>
      </c>
      <c r="D43" s="45">
        <f>5673500/I12*H12</f>
        <v>255208.84241155296</v>
      </c>
      <c r="E43" s="26">
        <f>D43/H12/12</f>
        <v>5.790988028399205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77</v>
      </c>
      <c r="B44" s="5" t="s">
        <v>23</v>
      </c>
      <c r="C44" s="16" t="s">
        <v>53</v>
      </c>
      <c r="D44" s="28">
        <f>2415000/I12*H12</f>
        <v>108633.00509807005</v>
      </c>
      <c r="E44" s="26">
        <f>D44/H12/12</f>
        <v>2.4650103267091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78</v>
      </c>
      <c r="B45" s="5" t="s">
        <v>24</v>
      </c>
      <c r="C45" s="12" t="s">
        <v>52</v>
      </c>
      <c r="D45" s="28">
        <v>0</v>
      </c>
      <c r="E45" s="26">
        <f>D45/H12/12</f>
        <v>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1:44" ht="38.25">
      <c r="A46" s="6" t="s">
        <v>79</v>
      </c>
      <c r="B46" s="5" t="s">
        <v>25</v>
      </c>
      <c r="C46" s="13" t="s">
        <v>52</v>
      </c>
      <c r="D46" s="28">
        <f>1479364.92/I12*H12</f>
        <v>66545.69643737722</v>
      </c>
      <c r="E46" s="26">
        <f>D46/H12/12</f>
        <v>1.5099999191599096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9"/>
      <c r="AR46" s="39"/>
    </row>
    <row r="47" spans="1:44" ht="25.5">
      <c r="A47" s="6" t="s">
        <v>42</v>
      </c>
      <c r="B47" s="5" t="s">
        <v>26</v>
      </c>
      <c r="C47" s="14" t="s">
        <v>52</v>
      </c>
      <c r="D47" s="45"/>
      <c r="E47" s="2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9"/>
      <c r="AR47" s="39"/>
    </row>
    <row r="48" spans="1:44" ht="25.5">
      <c r="A48" s="6" t="s">
        <v>46</v>
      </c>
      <c r="B48" s="5" t="s">
        <v>47</v>
      </c>
      <c r="C48" s="12" t="s">
        <v>50</v>
      </c>
      <c r="D48" s="45"/>
      <c r="E48" s="26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9"/>
      <c r="AR48" s="39"/>
    </row>
    <row r="49" spans="1:44" ht="25.5">
      <c r="A49" s="6" t="s">
        <v>48</v>
      </c>
      <c r="B49" s="5" t="s">
        <v>49</v>
      </c>
      <c r="C49" s="12" t="s">
        <v>50</v>
      </c>
      <c r="D49" s="45"/>
      <c r="E49" s="2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9"/>
      <c r="AR49" s="39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 customHeight="1">
      <c r="D61" s="11"/>
      <c r="E61" s="21"/>
    </row>
    <row r="62" spans="4:5" ht="15" customHeight="1">
      <c r="D62" s="11"/>
      <c r="E62" s="21"/>
    </row>
    <row r="63" spans="4:5" ht="15" customHeight="1">
      <c r="D63" s="11"/>
      <c r="E63" s="21"/>
    </row>
    <row r="64" spans="4:5" ht="15" customHeight="1">
      <c r="D64" s="11"/>
      <c r="E64" s="21"/>
    </row>
    <row r="65" spans="4:5" ht="15" customHeight="1">
      <c r="D65" s="11"/>
      <c r="E65" s="21"/>
    </row>
    <row r="66" spans="4:5" ht="15">
      <c r="D66" s="11"/>
      <c r="E66" s="21"/>
    </row>
    <row r="67" spans="4:5" ht="15.75" customHeight="1">
      <c r="D67" s="11"/>
      <c r="E67" s="21"/>
    </row>
    <row r="68" spans="4:5" ht="15.75" customHeight="1">
      <c r="D68" s="11"/>
      <c r="E68" s="21"/>
    </row>
    <row r="69" spans="4:5" ht="15.75" customHeight="1">
      <c r="D69" s="11"/>
      <c r="E69" s="21"/>
    </row>
    <row r="70" spans="4:5" ht="15" customHeight="1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38.25" customHeight="1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  <row r="120" spans="4:5" ht="15">
      <c r="D120" s="11"/>
      <c r="E120" s="21"/>
    </row>
    <row r="121" spans="4:5" ht="15">
      <c r="D121" s="11"/>
      <c r="E121" s="21"/>
    </row>
    <row r="122" spans="4:5" ht="15">
      <c r="D122" s="11"/>
      <c r="E122" s="21"/>
    </row>
    <row r="123" spans="4:5" ht="15">
      <c r="D123" s="11"/>
      <c r="E123" s="21"/>
    </row>
  </sheetData>
  <sheetProtection/>
  <mergeCells count="16">
    <mergeCell ref="A8:F8"/>
    <mergeCell ref="A9:F9"/>
    <mergeCell ref="A14:A15"/>
    <mergeCell ref="B14:B15"/>
    <mergeCell ref="D14:D15"/>
    <mergeCell ref="E14:E15"/>
    <mergeCell ref="A10:F10"/>
    <mergeCell ref="E1:F1"/>
    <mergeCell ref="D2:F2"/>
    <mergeCell ref="D3:F3"/>
    <mergeCell ref="A7:F7"/>
    <mergeCell ref="A1:B1"/>
    <mergeCell ref="A2:B2"/>
    <mergeCell ref="A3:B3"/>
    <mergeCell ref="A4:B4"/>
    <mergeCell ref="A5:B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119"/>
  <sheetViews>
    <sheetView workbookViewId="0" topLeftCell="A1">
      <selection activeCell="H5" sqref="H5:J10"/>
    </sheetView>
  </sheetViews>
  <sheetFormatPr defaultColWidth="9.140625" defaultRowHeight="15"/>
  <cols>
    <col min="1" max="1" width="6.7109375" style="4" customWidth="1"/>
    <col min="2" max="2" width="44.8515625" style="4" customWidth="1"/>
    <col min="3" max="3" width="17.7109375" style="4" hidden="1" customWidth="1"/>
    <col min="4" max="4" width="16.140625" style="4" customWidth="1"/>
    <col min="5" max="5" width="16.71093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 t="s">
        <v>80</v>
      </c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10" ht="15.75">
      <c r="A5" s="67" t="s">
        <v>83</v>
      </c>
      <c r="B5" s="67"/>
      <c r="C5" s="67"/>
      <c r="D5" s="67"/>
      <c r="E5" s="67"/>
      <c r="F5" s="67"/>
      <c r="H5" s="85"/>
      <c r="I5" s="85"/>
      <c r="J5" s="85"/>
    </row>
    <row r="6" spans="1:10" ht="15">
      <c r="A6" s="78" t="s">
        <v>99</v>
      </c>
      <c r="B6" s="79"/>
      <c r="C6" s="79"/>
      <c r="D6" s="79"/>
      <c r="E6" s="79"/>
      <c r="F6" s="79"/>
      <c r="H6" s="85"/>
      <c r="I6" s="85"/>
      <c r="J6" s="85"/>
    </row>
    <row r="7" spans="1:10" ht="15">
      <c r="A7" s="3"/>
      <c r="B7" s="3"/>
      <c r="C7" s="3"/>
      <c r="D7" s="3"/>
      <c r="E7" s="52"/>
      <c r="H7" s="85"/>
      <c r="I7" s="85"/>
      <c r="J7" s="85"/>
    </row>
    <row r="8" spans="1:10" ht="28.5">
      <c r="A8" s="9" t="s">
        <v>45</v>
      </c>
      <c r="B8" s="3"/>
      <c r="C8" s="3"/>
      <c r="D8" s="3"/>
      <c r="E8" s="47"/>
      <c r="H8" s="86">
        <f>'[1]СМЕТА'!$T$14</f>
        <v>3321.63</v>
      </c>
      <c r="I8" s="87">
        <f>'П.23'!I12</f>
        <v>81642.66</v>
      </c>
      <c r="J8" s="85"/>
    </row>
    <row r="9" spans="4:10" ht="15">
      <c r="D9" s="15"/>
      <c r="H9" s="85"/>
      <c r="I9" s="85"/>
      <c r="J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88"/>
      <c r="I10" s="88"/>
      <c r="J10" s="8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38.25">
      <c r="A12" s="22">
        <v>1</v>
      </c>
      <c r="B12" s="23" t="s">
        <v>13</v>
      </c>
      <c r="C12" s="24"/>
      <c r="D12" s="43">
        <f>D13+D14+D43+D44</f>
        <v>1363603.9391538098</v>
      </c>
      <c r="E12" s="48">
        <f>E13+E14+E43+E44</f>
        <v>34.21021052800909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'2015-1'!D19/'П.25'!I8*'П.25'!H8</f>
        <v>77768.60719212235</v>
      </c>
      <c r="E13" s="25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1285835.3319616874</v>
      </c>
      <c r="E14" s="25">
        <f>SUM(E15:E45)</f>
        <v>32.259145157690845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24">
      <c r="A16" s="6">
        <v>3.2</v>
      </c>
      <c r="B16" s="5" t="s">
        <v>15</v>
      </c>
      <c r="C16" s="12" t="s">
        <v>55</v>
      </c>
      <c r="D16" s="44">
        <f>'2015-1'!D22/'П.25'!I8*'П.25'!H8</f>
        <v>15632.794731559457</v>
      </c>
      <c r="E16" s="26">
        <f>D16/H8/12</f>
        <v>0.3921968715048399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25.5">
      <c r="A17" s="8">
        <v>3.3</v>
      </c>
      <c r="B17" s="5" t="s">
        <v>16</v>
      </c>
      <c r="C17" s="12" t="s">
        <v>57</v>
      </c>
      <c r="D17" s="44">
        <f>'2015-1'!D23/'П.25'!I8*'П.25'!H8</f>
        <v>9093.047899109362</v>
      </c>
      <c r="E17" s="26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2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25.5">
      <c r="A21" s="8">
        <v>3.7</v>
      </c>
      <c r="B21" s="5" t="s">
        <v>18</v>
      </c>
      <c r="C21" s="12" t="s">
        <v>55</v>
      </c>
      <c r="D21" s="45">
        <f>1195106.1/I8*H8</f>
        <v>48622.867933786096</v>
      </c>
      <c r="E21" s="26">
        <f>D21/H8/12</f>
        <v>1.219854607872894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6">
        <v>3.8</v>
      </c>
      <c r="B22" s="5" t="s">
        <v>61</v>
      </c>
      <c r="C22" s="12" t="s">
        <v>55</v>
      </c>
      <c r="D22" s="45">
        <f>465900/I8*H8</f>
        <v>18955.132243363947</v>
      </c>
      <c r="E22" s="26">
        <f>D22/H8/12</f>
        <v>0.4755479549539419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8">
        <v>3.9</v>
      </c>
      <c r="B23" s="5" t="s">
        <v>19</v>
      </c>
      <c r="C23" s="12" t="s">
        <v>55</v>
      </c>
      <c r="D23" s="45">
        <f>372720/I8*H8</f>
        <v>15164.105794691159</v>
      </c>
      <c r="E23" s="26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28</v>
      </c>
      <c r="B24" s="5" t="s">
        <v>62</v>
      </c>
      <c r="C24" s="12" t="s">
        <v>55</v>
      </c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2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8.25">
      <c r="A27" s="6" t="s">
        <v>31</v>
      </c>
      <c r="B27" s="5" t="s">
        <v>21</v>
      </c>
      <c r="C27" s="12" t="s">
        <v>56</v>
      </c>
      <c r="D27" s="45">
        <f>1667922/I8*H8</f>
        <v>67859.37343124293</v>
      </c>
      <c r="E27" s="26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111607.03749730838</v>
      </c>
      <c r="E31" s="26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58195.79558039878</v>
      </c>
      <c r="E34" s="26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25.5">
      <c r="A36" s="6" t="s">
        <v>40</v>
      </c>
      <c r="B36" s="5" t="s">
        <v>60</v>
      </c>
      <c r="C36" s="12" t="s">
        <v>52</v>
      </c>
      <c r="D36" s="45">
        <v>0</v>
      </c>
      <c r="E36" s="26">
        <v>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38.75" customHeight="1">
      <c r="A37" s="6" t="s">
        <v>41</v>
      </c>
      <c r="B37" s="56" t="s">
        <v>86</v>
      </c>
      <c r="C37" s="12" t="s">
        <v>52</v>
      </c>
      <c r="D37" s="45">
        <f>12530025.18/I8*H8</f>
        <v>509783.82549813297</v>
      </c>
      <c r="E37" s="26">
        <f>D37/H8/12</f>
        <v>12.789499570445157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8.25">
      <c r="A38" s="6" t="s">
        <v>44</v>
      </c>
      <c r="B38" s="5" t="s">
        <v>87</v>
      </c>
      <c r="C38" s="12" t="s">
        <v>58</v>
      </c>
      <c r="D38" s="45">
        <f>1023792/I8*H8</f>
        <v>41652.95717900421</v>
      </c>
      <c r="E38" s="26">
        <f>D38/H8/12</f>
        <v>1.0449928995454092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1">
      <c r="A39" s="6" t="s">
        <v>76</v>
      </c>
      <c r="B39" s="5" t="s">
        <v>85</v>
      </c>
      <c r="C39" s="12" t="s">
        <v>59</v>
      </c>
      <c r="D39" s="45">
        <f>5673500/I8*H8</f>
        <v>230826.23477725984</v>
      </c>
      <c r="E39" s="26">
        <f>D39/H8/12</f>
        <v>5.790988028399205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77</v>
      </c>
      <c r="B40" s="5" t="s">
        <v>23</v>
      </c>
      <c r="C40" s="16" t="s">
        <v>53</v>
      </c>
      <c r="D40" s="28">
        <f>2415000/I8*H8</f>
        <v>98254.22701808099</v>
      </c>
      <c r="E40" s="26">
        <f>D40/H8/12</f>
        <v>2.4650103267091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25.5">
      <c r="A41" s="6" t="s">
        <v>78</v>
      </c>
      <c r="B41" s="5" t="s">
        <v>24</v>
      </c>
      <c r="C41" s="12" t="s">
        <v>52</v>
      </c>
      <c r="D41" s="28">
        <v>0</v>
      </c>
      <c r="E41" s="26">
        <f>D41/H8/12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79</v>
      </c>
      <c r="B42" s="5" t="s">
        <v>25</v>
      </c>
      <c r="C42" s="13" t="s">
        <v>52</v>
      </c>
      <c r="D42" s="28">
        <f>1479364.92/I8*H8</f>
        <v>60187.93237774957</v>
      </c>
      <c r="E42" s="26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42</v>
      </c>
      <c r="B43" s="5" t="s">
        <v>26</v>
      </c>
      <c r="C43" s="14" t="s">
        <v>52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46</v>
      </c>
      <c r="B44" s="5" t="s">
        <v>47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48</v>
      </c>
      <c r="B45" s="5" t="s">
        <v>49</v>
      </c>
      <c r="C45" s="12" t="s">
        <v>50</v>
      </c>
      <c r="D45" s="45"/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 customHeight="1">
      <c r="D57" s="11"/>
      <c r="E57" s="21"/>
    </row>
    <row r="58" spans="4:5" ht="15" customHeight="1">
      <c r="D58" s="11"/>
      <c r="E58" s="21"/>
    </row>
    <row r="59" spans="4:5" ht="15" customHeight="1">
      <c r="D59" s="11"/>
      <c r="E59" s="21"/>
    </row>
    <row r="60" spans="4:5" ht="15" customHeight="1">
      <c r="D60" s="11"/>
      <c r="E60" s="21"/>
    </row>
    <row r="61" spans="4:5" ht="15" customHeight="1">
      <c r="D61" s="11"/>
      <c r="E61" s="21"/>
    </row>
    <row r="62" spans="4:5" ht="15">
      <c r="D62" s="11"/>
      <c r="E62" s="21"/>
    </row>
    <row r="63" spans="4:5" ht="15.75" customHeight="1">
      <c r="D63" s="11"/>
      <c r="E63" s="21"/>
    </row>
    <row r="64" spans="4:5" ht="15.75" customHeight="1">
      <c r="D64" s="11"/>
      <c r="E64" s="21"/>
    </row>
    <row r="65" spans="4:5" ht="15.75" customHeight="1">
      <c r="D65" s="11"/>
      <c r="E65" s="21"/>
    </row>
    <row r="66" spans="4:5" ht="15" customHeight="1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38.25" customHeight="1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mergeCells count="9">
    <mergeCell ref="A1:B1"/>
    <mergeCell ref="A3:F3"/>
    <mergeCell ref="A4:F4"/>
    <mergeCell ref="A5:F5"/>
    <mergeCell ref="A6:F6"/>
    <mergeCell ref="A10:A11"/>
    <mergeCell ref="B10:B11"/>
    <mergeCell ref="D10:D11"/>
    <mergeCell ref="E10:E1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118"/>
  <sheetViews>
    <sheetView tabSelected="1" workbookViewId="0" topLeftCell="A1">
      <selection activeCell="D51" sqref="D51"/>
    </sheetView>
  </sheetViews>
  <sheetFormatPr defaultColWidth="9.140625" defaultRowHeight="15"/>
  <cols>
    <col min="1" max="1" width="6.7109375" style="4" customWidth="1"/>
    <col min="2" max="2" width="44.8515625" style="4" customWidth="1"/>
    <col min="3" max="3" width="17.7109375" style="4" hidden="1" customWidth="1"/>
    <col min="4" max="4" width="16.140625" style="4" customWidth="1"/>
    <col min="5" max="5" width="16.71093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100</v>
      </c>
      <c r="B5" s="79"/>
      <c r="C5" s="79"/>
      <c r="D5" s="79"/>
      <c r="E5" s="79"/>
      <c r="F5" s="79"/>
    </row>
    <row r="6" spans="1:10" ht="15">
      <c r="A6" s="3"/>
      <c r="B6" s="3"/>
      <c r="C6" s="3"/>
      <c r="D6" s="3"/>
      <c r="E6" s="52"/>
      <c r="G6" s="85"/>
      <c r="H6" s="85"/>
      <c r="I6" s="85"/>
      <c r="J6" s="85"/>
    </row>
    <row r="7" spans="1:10" ht="28.5">
      <c r="A7" s="9" t="s">
        <v>45</v>
      </c>
      <c r="B7" s="3"/>
      <c r="C7" s="3"/>
      <c r="D7" s="3"/>
      <c r="E7" s="47"/>
      <c r="G7" s="85"/>
      <c r="H7" s="86">
        <f>'[1]СМЕТА'!$AI$14</f>
        <v>6722.5</v>
      </c>
      <c r="I7" s="87">
        <f>'П.25'!I8</f>
        <v>81642.66</v>
      </c>
      <c r="J7" s="85"/>
    </row>
    <row r="8" spans="4:10" ht="15">
      <c r="D8" s="15"/>
      <c r="G8" s="85"/>
      <c r="H8" s="85"/>
      <c r="I8" s="85"/>
      <c r="J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38.25">
      <c r="A11" s="22">
        <v>1</v>
      </c>
      <c r="B11" s="23" t="s">
        <v>13</v>
      </c>
      <c r="C11" s="24"/>
      <c r="D11" s="43">
        <f>D12+D13+D42+D43</f>
        <v>3523061.0650579054</v>
      </c>
      <c r="E11" s="48">
        <f>E12+E13+E42+E43</f>
        <v>43.67250607484697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'2015-1'!D19/'Б.19а'!I7*'Б.19а'!H7</f>
        <v>157392.44342357293</v>
      </c>
      <c r="E12" s="25">
        <f>D12/H7/12</f>
        <v>1.9510653703182463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3365668.6216343325</v>
      </c>
      <c r="E13" s="25">
        <f>SUM(E14:E44)</f>
        <v>41.721440704528725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'2015-1'!D22/'Б.19а'!I7*'Б.19а'!H7</f>
        <v>31638.521624295438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'2015-1'!D23/'Б.19а'!I7*'Б.19а'!H7</f>
        <v>18403.017344425083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98405.67121710636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38362.45352613449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30689.9628209076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137337.58362356148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225876.54542367923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117779.89595145479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>
        <f>E35*12*H7</f>
        <v>749424.2999999999</v>
      </c>
      <c r="E35" s="26">
        <v>9.29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8.75" customHeight="1">
      <c r="A36" s="6" t="s">
        <v>41</v>
      </c>
      <c r="B36" s="56" t="s">
        <v>86</v>
      </c>
      <c r="C36" s="12" t="s">
        <v>52</v>
      </c>
      <c r="D36" s="45">
        <f>12698825.18/I7*H7</f>
        <v>1045628.012028883</v>
      </c>
      <c r="E36" s="26">
        <f>D36/H7/12</f>
        <v>12.961795116262339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84299.57720632815</v>
      </c>
      <c r="E37" s="26">
        <f>D37/H7/12</f>
        <v>1.044992899545409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467159.00425096386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198852.3830556231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1479364.921/I7*H7</f>
        <v>121811.69356097047</v>
      </c>
      <c r="E41" s="26">
        <f>D41/H7/12</f>
        <v>1.5099999201806182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 customHeight="1">
      <c r="D56" s="11"/>
      <c r="E56" s="21"/>
    </row>
    <row r="57" spans="4:5" ht="15" customHeight="1">
      <c r="D57" s="11"/>
      <c r="E57" s="21"/>
    </row>
    <row r="58" spans="4:5" ht="15" customHeight="1">
      <c r="D58" s="11"/>
      <c r="E58" s="21"/>
    </row>
    <row r="59" spans="4:5" ht="15" customHeight="1">
      <c r="D59" s="11"/>
      <c r="E59" s="21"/>
    </row>
    <row r="60" spans="4:5" ht="15" customHeight="1">
      <c r="D60" s="11"/>
      <c r="E60" s="21"/>
    </row>
    <row r="61" spans="4:5" ht="15">
      <c r="D61" s="11"/>
      <c r="E61" s="21"/>
    </row>
    <row r="62" spans="4:5" ht="15.75" customHeight="1">
      <c r="D62" s="11"/>
      <c r="E62" s="21"/>
    </row>
    <row r="63" spans="4:5" ht="15.75" customHeight="1">
      <c r="D63" s="11"/>
      <c r="E63" s="21"/>
    </row>
    <row r="64" spans="4:5" ht="15.75" customHeight="1">
      <c r="D64" s="11"/>
      <c r="E64" s="21"/>
    </row>
    <row r="65" spans="4:5" ht="15" customHeight="1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38.25" customHeight="1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mergeCells count="8">
    <mergeCell ref="A2:F2"/>
    <mergeCell ref="A3:F3"/>
    <mergeCell ref="A4:F4"/>
    <mergeCell ref="A5:F5"/>
    <mergeCell ref="A9:A10"/>
    <mergeCell ref="B9:B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7" sqref="H7:J7"/>
    </sheetView>
  </sheetViews>
  <sheetFormatPr defaultColWidth="9.140625" defaultRowHeight="15"/>
  <cols>
    <col min="1" max="1" width="5.8515625" style="4" customWidth="1"/>
    <col min="2" max="2" width="44.140625" style="4" customWidth="1"/>
    <col min="3" max="3" width="17.7109375" style="4" hidden="1" customWidth="1"/>
    <col min="4" max="4" width="16.140625" style="4" customWidth="1"/>
    <col min="5" max="5" width="16.8515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103</v>
      </c>
      <c r="B5" s="79"/>
      <c r="C5" s="79"/>
      <c r="D5" s="79"/>
      <c r="E5" s="79"/>
      <c r="F5" s="79"/>
    </row>
    <row r="6" spans="1:5" ht="15">
      <c r="A6" s="3"/>
      <c r="B6" s="3"/>
      <c r="C6" s="3"/>
      <c r="D6" s="3"/>
      <c r="E6" s="52"/>
    </row>
    <row r="7" spans="1:10" ht="28.5">
      <c r="A7" s="9" t="s">
        <v>45</v>
      </c>
      <c r="B7" s="3"/>
      <c r="C7" s="3"/>
      <c r="D7" s="3"/>
      <c r="E7" s="47"/>
      <c r="H7" s="86">
        <f>'[1]СМЕТА'!$M$14</f>
        <v>3663.7</v>
      </c>
      <c r="I7" s="87">
        <f>'Л.33'!I8</f>
        <v>81642.66</v>
      </c>
      <c r="J7" s="85"/>
    </row>
    <row r="8" ht="15">
      <c r="D8" s="1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1504031.3797376025</v>
      </c>
      <c r="E11" s="48">
        <f>E12+E13+E42+E43</f>
        <v>34.210210528009085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'2015-1'!D19/'Л.37'!I7*'Л.37'!H7</f>
        <v>85777.41836681949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1418253.9613707832</v>
      </c>
      <c r="E13" s="25">
        <f>SUM(E14:E44)</f>
        <v>32.25914515769084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'2015-1'!D22/'Л.37'!I7*'Л.37'!H7</f>
        <v>17242.700137587384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'2015-1'!D23/'Л.37'!I7*'Л.37'!H7</f>
        <v>10029.473357347739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53630.17592236706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20907.180510777085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16725.744408621667</v>
      </c>
      <c r="E22" s="26">
        <f>D22/H7/12</f>
        <v>0.3804383639631535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74847.70622858196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123100.61725083429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64188.948277775366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44.75" customHeight="1">
      <c r="A36" s="6" t="s">
        <v>41</v>
      </c>
      <c r="B36" s="56" t="s">
        <v>86</v>
      </c>
      <c r="C36" s="12" t="s">
        <v>52</v>
      </c>
      <c r="D36" s="45">
        <f>12530025.18/I7*H7</f>
        <v>562282.674914879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45942.48583277418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254597.314075754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108372.70000756955</v>
      </c>
      <c r="E39" s="26">
        <f>D39/12/H7</f>
        <v>2.4650103267090997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66386.24044591392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workbookViewId="0" topLeftCell="A1">
      <selection activeCell="H11" sqref="H11:J12"/>
    </sheetView>
  </sheetViews>
  <sheetFormatPr defaultColWidth="9.140625" defaultRowHeight="15"/>
  <cols>
    <col min="1" max="1" width="8.421875" style="4" customWidth="1"/>
    <col min="2" max="2" width="44.8515625" style="4" customWidth="1"/>
    <col min="3" max="3" width="17.7109375" style="4" hidden="1" customWidth="1"/>
    <col min="4" max="4" width="17.421875" style="4" customWidth="1"/>
    <col min="5" max="5" width="18.14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6" ht="15.75" customHeight="1">
      <c r="A1" s="83"/>
      <c r="B1" s="84"/>
      <c r="C1" s="49"/>
      <c r="D1" s="50"/>
      <c r="E1" s="80"/>
      <c r="F1" s="81"/>
    </row>
    <row r="2" spans="1:6" ht="15">
      <c r="A2" s="84"/>
      <c r="B2" s="84"/>
      <c r="C2" s="49"/>
      <c r="D2" s="82"/>
      <c r="E2" s="81"/>
      <c r="F2" s="81"/>
    </row>
    <row r="3" spans="1:6" ht="15">
      <c r="A3" s="84"/>
      <c r="B3" s="84"/>
      <c r="C3" s="49"/>
      <c r="D3" s="82"/>
      <c r="E3" s="81"/>
      <c r="F3" s="81"/>
    </row>
    <row r="4" spans="1:5" ht="15">
      <c r="A4" s="84"/>
      <c r="B4" s="84"/>
      <c r="C4" s="49"/>
      <c r="D4" s="49"/>
      <c r="E4" s="20"/>
    </row>
    <row r="5" spans="1:5" ht="15">
      <c r="A5" s="84"/>
      <c r="B5" s="84"/>
      <c r="C5" s="49"/>
      <c r="D5" s="49"/>
      <c r="E5" s="20"/>
    </row>
    <row r="6" spans="1:5" ht="15">
      <c r="A6" s="51"/>
      <c r="B6" s="51"/>
      <c r="C6" s="49"/>
      <c r="D6" s="49"/>
      <c r="E6" s="20"/>
    </row>
    <row r="7" spans="1:6" ht="15.75">
      <c r="A7" s="67" t="s">
        <v>81</v>
      </c>
      <c r="B7" s="67"/>
      <c r="C7" s="67"/>
      <c r="D7" s="67"/>
      <c r="E7" s="67"/>
      <c r="F7" s="67"/>
    </row>
    <row r="8" spans="1:6" ht="15.75">
      <c r="A8" s="67" t="s">
        <v>82</v>
      </c>
      <c r="B8" s="67"/>
      <c r="C8" s="67"/>
      <c r="D8" s="67"/>
      <c r="E8" s="67"/>
      <c r="F8" s="67"/>
    </row>
    <row r="9" spans="1:6" ht="15.75">
      <c r="A9" s="67" t="s">
        <v>83</v>
      </c>
      <c r="B9" s="67"/>
      <c r="C9" s="67"/>
      <c r="D9" s="67"/>
      <c r="E9" s="67"/>
      <c r="F9" s="67"/>
    </row>
    <row r="10" spans="1:6" ht="15">
      <c r="A10" s="78" t="s">
        <v>88</v>
      </c>
      <c r="B10" s="79"/>
      <c r="C10" s="79"/>
      <c r="D10" s="79"/>
      <c r="E10" s="79"/>
      <c r="F10" s="79"/>
    </row>
    <row r="11" spans="1:10" ht="15">
      <c r="A11" s="3"/>
      <c r="B11" s="3"/>
      <c r="C11" s="3"/>
      <c r="D11" s="3"/>
      <c r="E11" s="52"/>
      <c r="H11" s="85"/>
      <c r="I11" s="85"/>
      <c r="J11" s="85"/>
    </row>
    <row r="12" spans="1:10" ht="28.5">
      <c r="A12" s="9" t="s">
        <v>45</v>
      </c>
      <c r="B12" s="3"/>
      <c r="C12" s="3"/>
      <c r="D12" s="3"/>
      <c r="E12" s="47"/>
      <c r="H12" s="86">
        <f>'[1]СМЕТА'!$N$14</f>
        <v>1470.1</v>
      </c>
      <c r="I12" s="87">
        <f>'Л.37'!I7</f>
        <v>81642.66</v>
      </c>
      <c r="J12" s="85"/>
    </row>
    <row r="13" ht="15">
      <c r="D13" s="15"/>
    </row>
    <row r="14" spans="1:42" ht="42" customHeight="1">
      <c r="A14" s="74" t="s">
        <v>8</v>
      </c>
      <c r="B14" s="74" t="s">
        <v>4</v>
      </c>
      <c r="C14" s="27" t="s">
        <v>5</v>
      </c>
      <c r="D14" s="75" t="s">
        <v>6</v>
      </c>
      <c r="E14" s="77" t="s">
        <v>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</row>
    <row r="15" spans="1:42" ht="14.25" customHeight="1">
      <c r="A15" s="74"/>
      <c r="B15" s="74"/>
      <c r="C15" s="27"/>
      <c r="D15" s="76"/>
      <c r="E15" s="7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5"/>
    </row>
    <row r="16" spans="1:44" s="10" customFormat="1" ht="38.25">
      <c r="A16" s="22">
        <v>1</v>
      </c>
      <c r="B16" s="23" t="s">
        <v>13</v>
      </c>
      <c r="C16" s="24"/>
      <c r="D16" s="43">
        <f>D17+D18+D47+D48</f>
        <v>603509.1659667139</v>
      </c>
      <c r="E16" s="48">
        <f>E17+E18+E47+E48</f>
        <v>34.21021052800909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7"/>
      <c r="AR16" s="37"/>
    </row>
    <row r="17" spans="1:44" ht="51.75" customHeight="1">
      <c r="A17" s="7">
        <v>2</v>
      </c>
      <c r="B17" s="5" t="s">
        <v>43</v>
      </c>
      <c r="C17" s="12" t="s">
        <v>52</v>
      </c>
      <c r="D17" s="44">
        <f>'2015-1'!D19/'Л. 39'!I12*'Л. 39'!H12</f>
        <v>34419.13441085824</v>
      </c>
      <c r="E17" s="25">
        <f>D17/H12/12</f>
        <v>1.9510653703182461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5"/>
      <c r="AQ17" s="39"/>
      <c r="AR17" s="39"/>
    </row>
    <row r="18" spans="1:44" ht="15">
      <c r="A18" s="7">
        <v>3</v>
      </c>
      <c r="B18" s="5" t="s">
        <v>27</v>
      </c>
      <c r="C18" s="12"/>
      <c r="D18" s="44">
        <f>D19+D20+D21+D22+D23+D24+D25+D26+D27+D28+D29+D30+D31+D32+D33+D34+D35+D36+D37+D38+D39+D40+D41+D42+D43+D44+D45+D46+D47+D48+D49</f>
        <v>569090.0315558556</v>
      </c>
      <c r="E18" s="25">
        <f>SUM(E19:E49)</f>
        <v>32.259145157690845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</row>
    <row r="19" spans="1:44" ht="25.5">
      <c r="A19" s="8">
        <v>3.1</v>
      </c>
      <c r="B19" s="5" t="s">
        <v>14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4">
      <c r="A20" s="6">
        <v>3.2</v>
      </c>
      <c r="B20" s="5" t="s">
        <v>15</v>
      </c>
      <c r="C20" s="12" t="s">
        <v>55</v>
      </c>
      <c r="D20" s="44">
        <f>'2015-1'!D22/'Л. 39'!I12*'Л. 39'!H12</f>
        <v>6918.823449591181</v>
      </c>
      <c r="E20" s="26">
        <f>D20/H12/12</f>
        <v>0.3921968715048399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8">
        <v>3.3</v>
      </c>
      <c r="B21" s="5" t="s">
        <v>16</v>
      </c>
      <c r="C21" s="12" t="s">
        <v>57</v>
      </c>
      <c r="D21" s="44">
        <f>'2015-1'!D23/'Л. 39'!I12*'Л. 39'!H12</f>
        <v>4024.4367122408794</v>
      </c>
      <c r="E21" s="26">
        <f>D21/H12/12</f>
        <v>0.22812715190808333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34.5" customHeight="1">
      <c r="A22" s="6" t="s">
        <v>65</v>
      </c>
      <c r="B22" s="5" t="s">
        <v>17</v>
      </c>
      <c r="C22" s="12" t="s">
        <v>54</v>
      </c>
      <c r="D22" s="45"/>
      <c r="E22" s="26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5"/>
      <c r="AQ22" s="39"/>
      <c r="AR22" s="39"/>
    </row>
    <row r="23" spans="1:44" ht="34.5" customHeight="1">
      <c r="A23" s="6" t="s">
        <v>66</v>
      </c>
      <c r="B23" s="5" t="s">
        <v>67</v>
      </c>
      <c r="C23" s="12"/>
      <c r="D23" s="45"/>
      <c r="E23" s="2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5"/>
      <c r="AQ23" s="39"/>
      <c r="AR23" s="39"/>
    </row>
    <row r="24" spans="1:44" ht="41.25" customHeight="1">
      <c r="A24" s="6" t="s">
        <v>68</v>
      </c>
      <c r="B24" s="5" t="s">
        <v>69</v>
      </c>
      <c r="C24" s="12"/>
      <c r="D24" s="45"/>
      <c r="E24" s="2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5"/>
      <c r="AQ24" s="39"/>
      <c r="AR24" s="39"/>
    </row>
    <row r="25" spans="1:44" ht="25.5">
      <c r="A25" s="8">
        <v>3.7</v>
      </c>
      <c r="B25" s="5" t="s">
        <v>18</v>
      </c>
      <c r="C25" s="12" t="s">
        <v>55</v>
      </c>
      <c r="D25" s="45">
        <f>1195106.1/I12*H12</f>
        <v>21519.699108407298</v>
      </c>
      <c r="E25" s="26">
        <f>D25/H12/12</f>
        <v>1.2198546078728942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25.5">
      <c r="A26" s="6">
        <v>3.8</v>
      </c>
      <c r="B26" s="5" t="s">
        <v>61</v>
      </c>
      <c r="C26" s="12" t="s">
        <v>55</v>
      </c>
      <c r="D26" s="45">
        <f>465900/I12*H12</f>
        <v>8389.23658293348</v>
      </c>
      <c r="E26" s="26">
        <f>D26/H12/12</f>
        <v>0.4755479549539419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25.5">
      <c r="A27" s="8">
        <v>3.9</v>
      </c>
      <c r="B27" s="5" t="s">
        <v>19</v>
      </c>
      <c r="C27" s="12" t="s">
        <v>55</v>
      </c>
      <c r="D27" s="45">
        <f>372720/I12*H12</f>
        <v>6711.389266346785</v>
      </c>
      <c r="E27" s="26">
        <f>D27/H12/12</f>
        <v>0.3804383639631536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25.5">
      <c r="A28" s="6" t="s">
        <v>28</v>
      </c>
      <c r="B28" s="5" t="s">
        <v>62</v>
      </c>
      <c r="C28" s="12" t="s">
        <v>55</v>
      </c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25.5">
      <c r="A29" s="6" t="s">
        <v>29</v>
      </c>
      <c r="B29" s="5" t="s">
        <v>63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30</v>
      </c>
      <c r="B30" s="5" t="s">
        <v>20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31</v>
      </c>
      <c r="B31" s="5" t="s">
        <v>21</v>
      </c>
      <c r="C31" s="12" t="s">
        <v>56</v>
      </c>
      <c r="D31" s="45">
        <f>1667922/I12*H12</f>
        <v>30033.46696690186</v>
      </c>
      <c r="E31" s="26">
        <f>D31/H12/12</f>
        <v>1.7024616787351121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3" customHeight="1">
      <c r="A32" s="6" t="s">
        <v>32</v>
      </c>
      <c r="B32" s="5" t="s">
        <v>70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1.25" customHeight="1">
      <c r="A33" s="6" t="s">
        <v>33</v>
      </c>
      <c r="B33" s="5" t="s">
        <v>22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41.25" customHeight="1">
      <c r="A34" s="6" t="s">
        <v>34</v>
      </c>
      <c r="B34" s="5" t="s">
        <v>71</v>
      </c>
      <c r="C34" s="12"/>
      <c r="D34" s="45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40.5" customHeight="1">
      <c r="A35" s="6" t="s">
        <v>35</v>
      </c>
      <c r="B35" s="5" t="s">
        <v>72</v>
      </c>
      <c r="C35" s="12" t="s">
        <v>52</v>
      </c>
      <c r="D35" s="46">
        <f>2743200/I12*H12</f>
        <v>49395.47927517304</v>
      </c>
      <c r="E35" s="26">
        <f>D35/H12/12</f>
        <v>2.8000067611711814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38.25">
      <c r="A36" s="6" t="s">
        <v>36</v>
      </c>
      <c r="B36" s="5" t="s">
        <v>64</v>
      </c>
      <c r="C36" s="12"/>
      <c r="D36" s="45"/>
      <c r="E36" s="2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40.5" customHeight="1">
      <c r="A37" s="6" t="s">
        <v>37</v>
      </c>
      <c r="B37" s="5" t="s">
        <v>73</v>
      </c>
      <c r="C37" s="12"/>
      <c r="D37" s="45"/>
      <c r="E37" s="26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9" customHeight="1">
      <c r="A38" s="6" t="s">
        <v>38</v>
      </c>
      <c r="B38" s="5" t="s">
        <v>74</v>
      </c>
      <c r="C38" s="12" t="s">
        <v>52</v>
      </c>
      <c r="D38" s="28">
        <f>1430400/I12*H12</f>
        <v>25756.522876643165</v>
      </c>
      <c r="E38" s="26">
        <f>D38/H12/12</f>
        <v>1.4600210233228559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39" customHeight="1">
      <c r="A39" s="6" t="s">
        <v>39</v>
      </c>
      <c r="B39" s="5" t="s">
        <v>75</v>
      </c>
      <c r="C39" s="12"/>
      <c r="D39" s="28"/>
      <c r="E39" s="2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40</v>
      </c>
      <c r="B40" s="5" t="s">
        <v>60</v>
      </c>
      <c r="C40" s="12" t="s">
        <v>52</v>
      </c>
      <c r="D40" s="45"/>
      <c r="E40" s="26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144" customHeight="1">
      <c r="A41" s="6" t="s">
        <v>41</v>
      </c>
      <c r="B41" s="56" t="s">
        <v>86</v>
      </c>
      <c r="C41" s="12" t="s">
        <v>52</v>
      </c>
      <c r="D41" s="45">
        <f>12530025.18/I12*H12</f>
        <v>225622.1198221371</v>
      </c>
      <c r="E41" s="26">
        <f>D41/H12/12</f>
        <v>12.789499570445157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44</v>
      </c>
      <c r="B42" s="5" t="s">
        <v>87</v>
      </c>
      <c r="C42" s="12" t="s">
        <v>58</v>
      </c>
      <c r="D42" s="45">
        <f>1023792/I12*H12</f>
        <v>18434.92873946047</v>
      </c>
      <c r="E42" s="26">
        <f>D42/H12/12</f>
        <v>1.0449928995454092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51">
      <c r="A43" s="6" t="s">
        <v>76</v>
      </c>
      <c r="B43" s="5" t="s">
        <v>85</v>
      </c>
      <c r="C43" s="12" t="s">
        <v>59</v>
      </c>
      <c r="D43" s="45">
        <f>5673500/I12*H12</f>
        <v>102159.97800659605</v>
      </c>
      <c r="E43" s="26">
        <f>D43/H12/12</f>
        <v>5.790988028399205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77</v>
      </c>
      <c r="B44" s="5" t="s">
        <v>23</v>
      </c>
      <c r="C44" s="16" t="s">
        <v>53</v>
      </c>
      <c r="D44" s="28">
        <f>2415000/I12*H12</f>
        <v>43485.74017554057</v>
      </c>
      <c r="E44" s="26">
        <f>D44/H12/12</f>
        <v>2.4650103267091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78</v>
      </c>
      <c r="B45" s="5" t="s">
        <v>24</v>
      </c>
      <c r="C45" s="12" t="s">
        <v>52</v>
      </c>
      <c r="D45" s="28">
        <v>0</v>
      </c>
      <c r="E45" s="26">
        <f>D45/H12/12</f>
        <v>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1:44" ht="38.25">
      <c r="A46" s="6" t="s">
        <v>79</v>
      </c>
      <c r="B46" s="5" t="s">
        <v>25</v>
      </c>
      <c r="C46" s="13" t="s">
        <v>52</v>
      </c>
      <c r="D46" s="28">
        <f>1479364.92/I12*H12</f>
        <v>26638.210573883796</v>
      </c>
      <c r="E46" s="26">
        <f>D46/H12/12</f>
        <v>1.5099999191599096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9"/>
      <c r="AR46" s="39"/>
    </row>
    <row r="47" spans="1:44" ht="25.5">
      <c r="A47" s="6" t="s">
        <v>42</v>
      </c>
      <c r="B47" s="5" t="s">
        <v>26</v>
      </c>
      <c r="C47" s="14" t="s">
        <v>52</v>
      </c>
      <c r="D47" s="45"/>
      <c r="E47" s="2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9"/>
      <c r="AR47" s="39"/>
    </row>
    <row r="48" spans="1:44" ht="25.5">
      <c r="A48" s="6" t="s">
        <v>46</v>
      </c>
      <c r="B48" s="5" t="s">
        <v>47</v>
      </c>
      <c r="C48" s="12" t="s">
        <v>50</v>
      </c>
      <c r="D48" s="45"/>
      <c r="E48" s="26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9"/>
      <c r="AR48" s="39"/>
    </row>
    <row r="49" spans="1:44" ht="25.5">
      <c r="A49" s="6" t="s">
        <v>48</v>
      </c>
      <c r="B49" s="5" t="s">
        <v>49</v>
      </c>
      <c r="C49" s="12" t="s">
        <v>50</v>
      </c>
      <c r="D49" s="45"/>
      <c r="E49" s="2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9"/>
      <c r="AR49" s="39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  <row r="120" spans="4:5" ht="15">
      <c r="D120" s="11"/>
      <c r="E120" s="21"/>
    </row>
    <row r="121" spans="4:5" ht="15">
      <c r="D121" s="11"/>
      <c r="E121" s="21"/>
    </row>
    <row r="122" spans="4:5" ht="15">
      <c r="D122" s="11"/>
      <c r="E122" s="21"/>
    </row>
    <row r="123" spans="4:5" ht="15">
      <c r="D123" s="11"/>
      <c r="E123" s="21"/>
    </row>
  </sheetData>
  <sheetProtection/>
  <mergeCells count="16">
    <mergeCell ref="E1:F1"/>
    <mergeCell ref="D2:F2"/>
    <mergeCell ref="D3:F3"/>
    <mergeCell ref="A7:F7"/>
    <mergeCell ref="A1:B1"/>
    <mergeCell ref="A2:B2"/>
    <mergeCell ref="A3:B3"/>
    <mergeCell ref="A4:B4"/>
    <mergeCell ref="A5:B5"/>
    <mergeCell ref="A8:F8"/>
    <mergeCell ref="A9:F9"/>
    <mergeCell ref="A14:A15"/>
    <mergeCell ref="B14:B15"/>
    <mergeCell ref="D14:D15"/>
    <mergeCell ref="E14:E15"/>
    <mergeCell ref="A10:F10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H6" sqref="H6:I8"/>
    </sheetView>
  </sheetViews>
  <sheetFormatPr defaultColWidth="9.140625" defaultRowHeight="15"/>
  <cols>
    <col min="1" max="1" width="7.7109375" style="4" customWidth="1"/>
    <col min="2" max="2" width="43.8515625" style="4" customWidth="1"/>
    <col min="3" max="3" width="17.7109375" style="4" hidden="1" customWidth="1"/>
    <col min="4" max="4" width="17.57421875" style="4" customWidth="1"/>
    <col min="5" max="5" width="16.57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6" ht="15">
      <c r="A5" s="78" t="s">
        <v>104</v>
      </c>
      <c r="B5" s="79"/>
      <c r="C5" s="79"/>
      <c r="D5" s="79"/>
      <c r="E5" s="79"/>
      <c r="F5" s="79"/>
    </row>
    <row r="6" spans="1:9" ht="15">
      <c r="A6" s="3"/>
      <c r="B6" s="3"/>
      <c r="C6" s="3"/>
      <c r="D6" s="3"/>
      <c r="E6" s="52"/>
      <c r="H6" s="85"/>
      <c r="I6" s="85"/>
    </row>
    <row r="7" spans="1:9" ht="28.5">
      <c r="A7" s="9" t="s">
        <v>45</v>
      </c>
      <c r="B7" s="3"/>
      <c r="C7" s="3"/>
      <c r="D7" s="3"/>
      <c r="E7" s="47"/>
      <c r="H7" s="86">
        <f>'[1]СМЕТА'!$O$14</f>
        <v>3661.6</v>
      </c>
      <c r="I7" s="87">
        <f>'Л. 39'!I12</f>
        <v>81642.66</v>
      </c>
    </row>
    <row r="8" spans="4:9" ht="15">
      <c r="D8" s="1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1503169.282432297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'2015-1'!D19/'Л.41'!I7*'Л.41'!H7</f>
        <v>85728.25151948747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1417441.0309128095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'2015-1'!D22/'Л.41'!I7*'Л.41'!H7</f>
        <v>17232.81677642546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'2015-1'!D23/'Л.41'!I7*'Л.41'!H7</f>
        <v>10023.724553119655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53599.43558624866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20895.196702312245</v>
      </c>
      <c r="E21" s="26">
        <f>D21/H7/12</f>
        <v>0.4755479549539419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16716.157361849797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74804.80419427784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123030.05708045278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64152.15574798763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>
        <v>0</v>
      </c>
      <c r="E35" s="26">
        <v>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6.5" customHeight="1">
      <c r="A36" s="6" t="s">
        <v>41</v>
      </c>
      <c r="B36" s="56" t="s">
        <v>86</v>
      </c>
      <c r="C36" s="12" t="s">
        <v>52</v>
      </c>
      <c r="D36" s="45">
        <f>12530025.18/I7*H7</f>
        <v>561960.3795257038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45916.15201170564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254451.38117743836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108310.58174733649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66348.18844795109</v>
      </c>
      <c r="E41" s="26">
        <f>D41/H7/12</f>
        <v>1.5099999191599094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3:F3"/>
    <mergeCell ref="A4:F4"/>
    <mergeCell ref="A9:A10"/>
    <mergeCell ref="B9:B10"/>
    <mergeCell ref="D9:D10"/>
    <mergeCell ref="E9:E10"/>
    <mergeCell ref="A5:F5"/>
    <mergeCell ref="A2:F2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19"/>
  <sheetViews>
    <sheetView workbookViewId="0" topLeftCell="A1">
      <selection activeCell="A1" sqref="A1:B4"/>
    </sheetView>
  </sheetViews>
  <sheetFormatPr defaultColWidth="9.140625" defaultRowHeight="15"/>
  <cols>
    <col min="1" max="1" width="7.57421875" style="4" customWidth="1"/>
    <col min="2" max="2" width="43.00390625" style="4" customWidth="1"/>
    <col min="3" max="3" width="17.7109375" style="4" hidden="1" customWidth="1"/>
    <col min="4" max="4" width="18.00390625" style="4" customWidth="1"/>
    <col min="5" max="5" width="17.1406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/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6" ht="15.75">
      <c r="A5" s="67" t="s">
        <v>83</v>
      </c>
      <c r="B5" s="67"/>
      <c r="C5" s="67"/>
      <c r="D5" s="67"/>
      <c r="E5" s="67"/>
      <c r="F5" s="67"/>
    </row>
    <row r="6" spans="1:9" ht="15">
      <c r="A6" s="78" t="s">
        <v>105</v>
      </c>
      <c r="B6" s="79"/>
      <c r="C6" s="79"/>
      <c r="D6" s="79"/>
      <c r="E6" s="79"/>
      <c r="F6" s="79"/>
      <c r="H6" s="85"/>
      <c r="I6" s="85"/>
    </row>
    <row r="7" spans="1:9" ht="15">
      <c r="A7" s="3"/>
      <c r="B7" s="3"/>
      <c r="C7" s="3"/>
      <c r="D7" s="3"/>
      <c r="E7" s="52"/>
      <c r="H7" s="85"/>
      <c r="I7" s="85"/>
    </row>
    <row r="8" spans="1:9" ht="28.5">
      <c r="A8" s="9" t="s">
        <v>45</v>
      </c>
      <c r="B8" s="3"/>
      <c r="C8" s="3"/>
      <c r="D8" s="3"/>
      <c r="E8" s="47"/>
      <c r="H8" s="86">
        <f>'[1]СМЕТА'!$P$14</f>
        <v>3670.6</v>
      </c>
      <c r="I8" s="87">
        <f>'Л.41'!I7</f>
        <v>81642.66</v>
      </c>
    </row>
    <row r="9" spans="4:9" ht="15">
      <c r="D9" s="15"/>
      <c r="H9" s="85"/>
      <c r="I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51">
      <c r="A12" s="22">
        <v>1</v>
      </c>
      <c r="B12" s="23" t="s">
        <v>13</v>
      </c>
      <c r="C12" s="24"/>
      <c r="D12" s="43">
        <f>D13+D14+D43+D44</f>
        <v>1506863.9851693218</v>
      </c>
      <c r="E12" s="48">
        <f>E13+E14+E43+E44</f>
        <v>34.21021052800909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'2015-1'!D19/'Л.43'!I8*'Л.43'!H8</f>
        <v>85938.96657948184</v>
      </c>
      <c r="E13" s="25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1420925.01858984</v>
      </c>
      <c r="E14" s="25">
        <f>SUM(E15:E45)</f>
        <v>32.259145157690845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24">
      <c r="A16" s="6">
        <v>3.2</v>
      </c>
      <c r="B16" s="5" t="s">
        <v>15</v>
      </c>
      <c r="C16" s="12" t="s">
        <v>55</v>
      </c>
      <c r="D16" s="44">
        <f>'2015-1'!D22/'Л.43'!I8*'Л.43'!H8</f>
        <v>17275.174038547982</v>
      </c>
      <c r="E16" s="26">
        <f>D16/H8/12</f>
        <v>0.39219687150483984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25.5">
      <c r="A17" s="8">
        <v>3.3</v>
      </c>
      <c r="B17" s="5" t="s">
        <v>16</v>
      </c>
      <c r="C17" s="12" t="s">
        <v>57</v>
      </c>
      <c r="D17" s="44">
        <f>'2015-1'!D23/'Л.43'!I8*'Л.43'!H8</f>
        <v>10048.362285525729</v>
      </c>
      <c r="E17" s="26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2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25.5">
      <c r="A21" s="8">
        <v>3.7</v>
      </c>
      <c r="B21" s="5" t="s">
        <v>18</v>
      </c>
      <c r="C21" s="12" t="s">
        <v>55</v>
      </c>
      <c r="D21" s="45">
        <f>1195106.1/I8*H8</f>
        <v>53731.179883898934</v>
      </c>
      <c r="E21" s="26">
        <f>D21/H8/12</f>
        <v>1.219854607872894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6">
        <v>3.8</v>
      </c>
      <c r="B22" s="5" t="s">
        <v>61</v>
      </c>
      <c r="C22" s="12" t="s">
        <v>55</v>
      </c>
      <c r="D22" s="45">
        <f>465900/I8*H8</f>
        <v>20946.55588144727</v>
      </c>
      <c r="E22" s="26">
        <f>D22/H8/12</f>
        <v>0.4755479549539419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8">
        <v>3.9</v>
      </c>
      <c r="B23" s="5" t="s">
        <v>19</v>
      </c>
      <c r="C23" s="12" t="s">
        <v>55</v>
      </c>
      <c r="D23" s="45">
        <f>372720/I8*H8</f>
        <v>16757.24470515782</v>
      </c>
      <c r="E23" s="26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28</v>
      </c>
      <c r="B24" s="5" t="s">
        <v>62</v>
      </c>
      <c r="C24" s="12" t="s">
        <v>55</v>
      </c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2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8.25">
      <c r="A27" s="6" t="s">
        <v>31</v>
      </c>
      <c r="B27" s="5" t="s">
        <v>21</v>
      </c>
      <c r="C27" s="12" t="s">
        <v>56</v>
      </c>
      <c r="D27" s="45">
        <f>1667922/I8*H8</f>
        <v>74988.67005558123</v>
      </c>
      <c r="E27" s="26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123332.45781065927</v>
      </c>
      <c r="E31" s="26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64309.838018506496</v>
      </c>
      <c r="E34" s="26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25.5">
      <c r="A36" s="6" t="s">
        <v>40</v>
      </c>
      <c r="B36" s="5" t="s">
        <v>60</v>
      </c>
      <c r="C36" s="12" t="s">
        <v>52</v>
      </c>
      <c r="D36" s="45">
        <v>0</v>
      </c>
      <c r="E36" s="26">
        <v>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45.5" customHeight="1">
      <c r="A37" s="6" t="s">
        <v>41</v>
      </c>
      <c r="B37" s="56" t="s">
        <v>86</v>
      </c>
      <c r="C37" s="12" t="s">
        <v>52</v>
      </c>
      <c r="D37" s="45">
        <f>12530025.18/I8*H8</f>
        <v>563341.6454793119</v>
      </c>
      <c r="E37" s="26">
        <f>D37/H8/12</f>
        <v>12.789499570445157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8.25">
      <c r="A38" s="6" t="s">
        <v>44</v>
      </c>
      <c r="B38" s="5" t="s">
        <v>87</v>
      </c>
      <c r="C38" s="12" t="s">
        <v>58</v>
      </c>
      <c r="D38" s="45">
        <f>1023792/I8*H8</f>
        <v>46029.01124485654</v>
      </c>
      <c r="E38" s="26">
        <f>D38/H8/12</f>
        <v>1.0449928995454092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1">
      <c r="A39" s="6" t="s">
        <v>76</v>
      </c>
      <c r="B39" s="5" t="s">
        <v>85</v>
      </c>
      <c r="C39" s="12" t="s">
        <v>59</v>
      </c>
      <c r="D39" s="45">
        <f>5673500/I8*H8</f>
        <v>255076.80788450546</v>
      </c>
      <c r="E39" s="26">
        <f>D39/H8/12</f>
        <v>5.790988028399205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77</v>
      </c>
      <c r="B40" s="5" t="s">
        <v>23</v>
      </c>
      <c r="C40" s="16" t="s">
        <v>53</v>
      </c>
      <c r="D40" s="28">
        <f>2415000/I8*H8</f>
        <v>108576.80286262107</v>
      </c>
      <c r="E40" s="26">
        <f>D40/H8/12</f>
        <v>2.4650103267091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25.5">
      <c r="A41" s="6" t="s">
        <v>78</v>
      </c>
      <c r="B41" s="5" t="s">
        <v>24</v>
      </c>
      <c r="C41" s="12" t="s">
        <v>52</v>
      </c>
      <c r="D41" s="28">
        <v>0</v>
      </c>
      <c r="E41" s="26">
        <f>D41/H8/12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79</v>
      </c>
      <c r="B42" s="5" t="s">
        <v>25</v>
      </c>
      <c r="C42" s="13" t="s">
        <v>52</v>
      </c>
      <c r="D42" s="28">
        <f>1479364.92/I8*H8</f>
        <v>66511.26843922037</v>
      </c>
      <c r="E42" s="26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42</v>
      </c>
      <c r="B43" s="5" t="s">
        <v>26</v>
      </c>
      <c r="C43" s="14" t="s">
        <v>52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46</v>
      </c>
      <c r="B44" s="5" t="s">
        <v>47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48</v>
      </c>
      <c r="B45" s="5" t="s">
        <v>49</v>
      </c>
      <c r="C45" s="12" t="s">
        <v>50</v>
      </c>
      <c r="D45" s="45"/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sheetProtection/>
  <mergeCells count="9">
    <mergeCell ref="A3:F3"/>
    <mergeCell ref="A1:B1"/>
    <mergeCell ref="A4:F4"/>
    <mergeCell ref="A5:F5"/>
    <mergeCell ref="A10:A11"/>
    <mergeCell ref="B10:B11"/>
    <mergeCell ref="D10:D11"/>
    <mergeCell ref="E10:E11"/>
    <mergeCell ref="A6:F6"/>
  </mergeCells>
  <printOptions horizontalCentered="1" verticalCentered="1"/>
  <pageMargins left="0.7086614173228347" right="0.3937007874015748" top="0.5905511811023623" bottom="0.31496062992125984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19"/>
  <sheetViews>
    <sheetView workbookViewId="0" topLeftCell="A1">
      <selection activeCell="A1" sqref="A1:B4"/>
    </sheetView>
  </sheetViews>
  <sheetFormatPr defaultColWidth="9.140625" defaultRowHeight="15"/>
  <cols>
    <col min="1" max="1" width="6.421875" style="4" customWidth="1"/>
    <col min="2" max="2" width="43.8515625" style="4" customWidth="1"/>
    <col min="3" max="3" width="17.7109375" style="4" hidden="1" customWidth="1"/>
    <col min="4" max="4" width="17.28125" style="4" customWidth="1"/>
    <col min="5" max="5" width="18.2812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/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6" ht="15.75">
      <c r="A5" s="67" t="s">
        <v>83</v>
      </c>
      <c r="B5" s="67"/>
      <c r="C5" s="67"/>
      <c r="D5" s="67"/>
      <c r="E5" s="67"/>
      <c r="F5" s="67"/>
    </row>
    <row r="6" spans="1:10" ht="15">
      <c r="A6" s="78" t="s">
        <v>89</v>
      </c>
      <c r="B6" s="79"/>
      <c r="C6" s="79"/>
      <c r="D6" s="79"/>
      <c r="E6" s="79"/>
      <c r="F6" s="79"/>
      <c r="H6" s="85"/>
      <c r="I6" s="85"/>
      <c r="J6" s="85"/>
    </row>
    <row r="7" spans="1:10" ht="15">
      <c r="A7" s="3"/>
      <c r="B7" s="3"/>
      <c r="C7" s="3"/>
      <c r="D7" s="3"/>
      <c r="E7" s="52"/>
      <c r="H7" s="85"/>
      <c r="I7" s="85"/>
      <c r="J7" s="85"/>
    </row>
    <row r="8" spans="1:10" ht="28.5">
      <c r="A8" s="9" t="s">
        <v>45</v>
      </c>
      <c r="B8" s="3"/>
      <c r="C8" s="3"/>
      <c r="D8" s="3"/>
      <c r="E8" s="47"/>
      <c r="H8" s="86">
        <f>'[1]СМЕТА'!$Q$14</f>
        <v>1469.5</v>
      </c>
      <c r="I8" s="87">
        <f>'Л.43'!I8</f>
        <v>81642.66</v>
      </c>
      <c r="J8" s="85"/>
    </row>
    <row r="9" spans="4:10" ht="15">
      <c r="D9" s="15"/>
      <c r="H9" s="85"/>
      <c r="I9" s="85"/>
      <c r="J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51">
      <c r="A12" s="22">
        <v>1</v>
      </c>
      <c r="B12" s="23" t="s">
        <v>13</v>
      </c>
      <c r="C12" s="24"/>
      <c r="D12" s="43">
        <f>D13+D14+D43+D44</f>
        <v>603262.8524509122</v>
      </c>
      <c r="E12" s="48">
        <f>E13+E14+E43+E44</f>
        <v>34.210210528009085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'2015-1'!D19/'Л.45'!I8*'Л.45'!H8</f>
        <v>34405.08674019195</v>
      </c>
      <c r="E13" s="25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568857.7657107203</v>
      </c>
      <c r="E14" s="25">
        <f>SUM(E15:E45)</f>
        <v>32.25914515769084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24">
      <c r="A16" s="6">
        <v>3.2</v>
      </c>
      <c r="B16" s="5" t="s">
        <v>15</v>
      </c>
      <c r="C16" s="12" t="s">
        <v>55</v>
      </c>
      <c r="D16" s="44">
        <f>'2015-1'!D22/'Л.45'!I8*'Л.45'!H8</f>
        <v>6915.999632116347</v>
      </c>
      <c r="E16" s="26">
        <f>D16/H8/12</f>
        <v>0.3921968715048399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25.5">
      <c r="A17" s="8">
        <v>3.3</v>
      </c>
      <c r="B17" s="5" t="s">
        <v>16</v>
      </c>
      <c r="C17" s="12" t="s">
        <v>57</v>
      </c>
      <c r="D17" s="44">
        <f>'2015-1'!D23/'Л.45'!I8*'Л.45'!H8</f>
        <v>4022.7941967471415</v>
      </c>
      <c r="E17" s="26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2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25.5">
      <c r="A21" s="8">
        <v>3.7</v>
      </c>
      <c r="B21" s="5" t="s">
        <v>18</v>
      </c>
      <c r="C21" s="12" t="s">
        <v>55</v>
      </c>
      <c r="D21" s="45">
        <f>1195106.1/I8*H8</f>
        <v>21510.916155230614</v>
      </c>
      <c r="E21" s="26">
        <f>D21/H8/12</f>
        <v>1.219854607872894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6">
        <v>3.8</v>
      </c>
      <c r="B22" s="5" t="s">
        <v>61</v>
      </c>
      <c r="C22" s="12" t="s">
        <v>55</v>
      </c>
      <c r="D22" s="45">
        <f>465900/I8*H8</f>
        <v>8385.812637657813</v>
      </c>
      <c r="E22" s="26">
        <f>D22/H8/12</f>
        <v>0.47554795495394203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8">
        <v>3.9</v>
      </c>
      <c r="B23" s="5" t="s">
        <v>19</v>
      </c>
      <c r="C23" s="12" t="s">
        <v>55</v>
      </c>
      <c r="D23" s="45">
        <f>372720/I8*H8</f>
        <v>6708.65011012625</v>
      </c>
      <c r="E23" s="26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28</v>
      </c>
      <c r="B24" s="5" t="s">
        <v>62</v>
      </c>
      <c r="C24" s="12" t="s">
        <v>55</v>
      </c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2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8.25">
      <c r="A27" s="6" t="s">
        <v>31</v>
      </c>
      <c r="B27" s="5" t="s">
        <v>21</v>
      </c>
      <c r="C27" s="12" t="s">
        <v>56</v>
      </c>
      <c r="D27" s="45">
        <f>1667922/I8*H8</f>
        <v>30021.209242814966</v>
      </c>
      <c r="E27" s="26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49375.31922649262</v>
      </c>
      <c r="E31" s="26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25746.010725275242</v>
      </c>
      <c r="E34" s="26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25.5">
      <c r="A36" s="6" t="s">
        <v>40</v>
      </c>
      <c r="B36" s="5" t="s">
        <v>60</v>
      </c>
      <c r="C36" s="12" t="s">
        <v>52</v>
      </c>
      <c r="D36" s="45">
        <v>0</v>
      </c>
      <c r="E36" s="26">
        <v>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32.75" customHeight="1">
      <c r="A37" s="6" t="s">
        <v>41</v>
      </c>
      <c r="B37" s="56" t="s">
        <v>86</v>
      </c>
      <c r="C37" s="12" t="s">
        <v>52</v>
      </c>
      <c r="D37" s="45">
        <f>12530025.18/I8*H8</f>
        <v>225530.0354252299</v>
      </c>
      <c r="E37" s="26">
        <f>D37/H8/12</f>
        <v>12.789499570445157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8.25">
      <c r="A38" s="6" t="s">
        <v>44</v>
      </c>
      <c r="B38" s="5" t="s">
        <v>87</v>
      </c>
      <c r="C38" s="12" t="s">
        <v>58</v>
      </c>
      <c r="D38" s="45">
        <f>1023792/I8*H8</f>
        <v>18427.404790583743</v>
      </c>
      <c r="E38" s="26">
        <f>D38/H8/12</f>
        <v>1.0449928995454092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1">
      <c r="A39" s="6" t="s">
        <v>76</v>
      </c>
      <c r="B39" s="5" t="s">
        <v>85</v>
      </c>
      <c r="C39" s="12" t="s">
        <v>59</v>
      </c>
      <c r="D39" s="45">
        <f>5673500/I8*H8</f>
        <v>102118.28289279158</v>
      </c>
      <c r="E39" s="26">
        <f>D39/H8/12</f>
        <v>5.790988028399205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77</v>
      </c>
      <c r="B40" s="5" t="s">
        <v>23</v>
      </c>
      <c r="C40" s="16" t="s">
        <v>53</v>
      </c>
      <c r="D40" s="28">
        <f>2415000/I8*H8</f>
        <v>43467.99210118827</v>
      </c>
      <c r="E40" s="26">
        <f>D40/H8/12</f>
        <v>2.4650103267090997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25.5">
      <c r="A41" s="6" t="s">
        <v>78</v>
      </c>
      <c r="B41" s="5" t="s">
        <v>24</v>
      </c>
      <c r="C41" s="12" t="s">
        <v>52</v>
      </c>
      <c r="D41" s="28">
        <v>0</v>
      </c>
      <c r="E41" s="26">
        <f>D41/H8/12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79</v>
      </c>
      <c r="B42" s="5" t="s">
        <v>25</v>
      </c>
      <c r="C42" s="13" t="s">
        <v>52</v>
      </c>
      <c r="D42" s="28">
        <f>1479364.92/I8*H8</f>
        <v>26627.338574465844</v>
      </c>
      <c r="E42" s="26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42</v>
      </c>
      <c r="B43" s="5" t="s">
        <v>26</v>
      </c>
      <c r="C43" s="14" t="s">
        <v>52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46</v>
      </c>
      <c r="B44" s="5" t="s">
        <v>47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48</v>
      </c>
      <c r="B45" s="5" t="s">
        <v>49</v>
      </c>
      <c r="C45" s="12" t="s">
        <v>50</v>
      </c>
      <c r="D45" s="45"/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sheetProtection/>
  <mergeCells count="9">
    <mergeCell ref="A4:F4"/>
    <mergeCell ref="A5:F5"/>
    <mergeCell ref="A10:A11"/>
    <mergeCell ref="B10:B11"/>
    <mergeCell ref="D10:D11"/>
    <mergeCell ref="E10:E11"/>
    <mergeCell ref="A6:F6"/>
    <mergeCell ref="A3:F3"/>
    <mergeCell ref="A1:B1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8"/>
  <sheetViews>
    <sheetView workbookViewId="0" topLeftCell="A1">
      <selection activeCell="D24" sqref="D24"/>
    </sheetView>
  </sheetViews>
  <sheetFormatPr defaultColWidth="9.140625" defaultRowHeight="15"/>
  <cols>
    <col min="1" max="1" width="7.7109375" style="4" customWidth="1"/>
    <col min="2" max="2" width="44.28125" style="4" customWidth="1"/>
    <col min="3" max="3" width="17.7109375" style="4" hidden="1" customWidth="1"/>
    <col min="4" max="4" width="16.8515625" style="4" customWidth="1"/>
    <col min="5" max="5" width="16.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51"/>
      <c r="B1" s="51"/>
      <c r="C1" s="49"/>
      <c r="D1" s="49"/>
      <c r="E1" s="20"/>
    </row>
    <row r="2" spans="1:6" ht="15.75">
      <c r="A2" s="67" t="s">
        <v>81</v>
      </c>
      <c r="B2" s="67"/>
      <c r="C2" s="67"/>
      <c r="D2" s="67"/>
      <c r="E2" s="67"/>
      <c r="F2" s="67"/>
    </row>
    <row r="3" spans="1:6" ht="15.75">
      <c r="A3" s="67" t="s">
        <v>82</v>
      </c>
      <c r="B3" s="67"/>
      <c r="C3" s="67"/>
      <c r="D3" s="67"/>
      <c r="E3" s="67"/>
      <c r="F3" s="67"/>
    </row>
    <row r="4" spans="1:6" ht="15.75">
      <c r="A4" s="67" t="s">
        <v>83</v>
      </c>
      <c r="B4" s="67"/>
      <c r="C4" s="67"/>
      <c r="D4" s="67"/>
      <c r="E4" s="67"/>
      <c r="F4" s="67"/>
    </row>
    <row r="5" spans="1:9" ht="15">
      <c r="A5" s="78" t="s">
        <v>90</v>
      </c>
      <c r="B5" s="79"/>
      <c r="C5" s="79"/>
      <c r="D5" s="79"/>
      <c r="E5" s="79"/>
      <c r="F5" s="79"/>
      <c r="H5" s="85"/>
      <c r="I5" s="85"/>
    </row>
    <row r="6" spans="1:9" ht="15">
      <c r="A6" s="3"/>
      <c r="B6" s="3"/>
      <c r="C6" s="3"/>
      <c r="D6" s="3"/>
      <c r="E6" s="52"/>
      <c r="H6" s="85"/>
      <c r="I6" s="85"/>
    </row>
    <row r="7" spans="1:9" ht="28.5">
      <c r="A7" s="9" t="s">
        <v>45</v>
      </c>
      <c r="B7" s="3"/>
      <c r="C7" s="3"/>
      <c r="D7" s="3"/>
      <c r="E7" s="47"/>
      <c r="H7" s="86">
        <f>'[1]СМЕТА'!$R$14</f>
        <v>1469.6</v>
      </c>
      <c r="I7" s="87">
        <f>'Л.45'!I8</f>
        <v>81642.66</v>
      </c>
    </row>
    <row r="8" spans="4:9" ht="15">
      <c r="D8" s="15"/>
      <c r="H8" s="85"/>
      <c r="I8" s="85"/>
    </row>
    <row r="9" spans="1:42" ht="42" customHeight="1">
      <c r="A9" s="74" t="s">
        <v>8</v>
      </c>
      <c r="B9" s="74" t="s">
        <v>4</v>
      </c>
      <c r="C9" s="27" t="s">
        <v>5</v>
      </c>
      <c r="D9" s="75" t="s">
        <v>6</v>
      </c>
      <c r="E9" s="77" t="s">
        <v>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ht="14.25" customHeight="1">
      <c r="A10" s="74"/>
      <c r="B10" s="74"/>
      <c r="C10" s="27"/>
      <c r="D10" s="76"/>
      <c r="E10" s="7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5"/>
    </row>
    <row r="11" spans="1:44" s="10" customFormat="1" ht="51">
      <c r="A11" s="22">
        <v>1</v>
      </c>
      <c r="B11" s="23" t="s">
        <v>13</v>
      </c>
      <c r="C11" s="24"/>
      <c r="D11" s="43">
        <f>D12+D13+D42+D43</f>
        <v>603303.9047035458</v>
      </c>
      <c r="E11" s="48">
        <f>E12+E13+E42+E43</f>
        <v>34.21021052800909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7"/>
      <c r="AR11" s="37"/>
    </row>
    <row r="12" spans="1:44" ht="51.75" customHeight="1">
      <c r="A12" s="7">
        <v>2</v>
      </c>
      <c r="B12" s="5" t="s">
        <v>43</v>
      </c>
      <c r="C12" s="12" t="s">
        <v>52</v>
      </c>
      <c r="D12" s="44">
        <f>'2015-1'!D19/'Л.47'!I7*'Л.47'!H7</f>
        <v>34407.42801863633</v>
      </c>
      <c r="E12" s="25">
        <f>D12/H7/12</f>
        <v>1.9510653703182461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5"/>
      <c r="AQ12" s="39"/>
      <c r="AR12" s="39"/>
    </row>
    <row r="13" spans="1:44" ht="15">
      <c r="A13" s="7">
        <v>3</v>
      </c>
      <c r="B13" s="5" t="s">
        <v>27</v>
      </c>
      <c r="C13" s="12"/>
      <c r="D13" s="44">
        <f>D14+D15+D16+D17+D18+D19+D20+D21+D22+D23+D24+D25+D26+D27+D28+D29+D30+D31+D32+D33+D34+D35+D36+D37+D38+D39+D40+D41+D42+D43+D44</f>
        <v>568896.4766849095</v>
      </c>
      <c r="E13" s="25">
        <f>SUM(E14:E44)</f>
        <v>32.259145157690845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</row>
    <row r="14" spans="1:44" ht="25.5">
      <c r="A14" s="8">
        <v>3.1</v>
      </c>
      <c r="B14" s="5" t="s">
        <v>14</v>
      </c>
      <c r="C14" s="12"/>
      <c r="D14" s="45"/>
      <c r="E14" s="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5"/>
      <c r="AQ14" s="39"/>
      <c r="AR14" s="39"/>
    </row>
    <row r="15" spans="1:44" ht="24">
      <c r="A15" s="6">
        <v>3.2</v>
      </c>
      <c r="B15" s="5" t="s">
        <v>15</v>
      </c>
      <c r="C15" s="12" t="s">
        <v>55</v>
      </c>
      <c r="D15" s="44">
        <f>'2015-1'!D22/'Л.47'!I7*'Л.47'!H7</f>
        <v>6916.470268362153</v>
      </c>
      <c r="E15" s="26">
        <f>D15/H7/12</f>
        <v>0.3921968715048399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9"/>
      <c r="AR15" s="39"/>
    </row>
    <row r="16" spans="1:44" ht="25.5">
      <c r="A16" s="8">
        <v>3.3</v>
      </c>
      <c r="B16" s="5" t="s">
        <v>16</v>
      </c>
      <c r="C16" s="12" t="s">
        <v>57</v>
      </c>
      <c r="D16" s="44">
        <f>'2015-1'!D23/'Л.47'!I7*'Л.47'!H7</f>
        <v>4023.067949329431</v>
      </c>
      <c r="E16" s="26">
        <f>D16/H7/12</f>
        <v>0.22812715190808333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34.5" customHeight="1">
      <c r="A17" s="6" t="s">
        <v>65</v>
      </c>
      <c r="B17" s="5" t="s">
        <v>17</v>
      </c>
      <c r="C17" s="12" t="s">
        <v>54</v>
      </c>
      <c r="D17" s="45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5"/>
      <c r="AQ17" s="39"/>
      <c r="AR17" s="39"/>
    </row>
    <row r="18" spans="1:44" ht="34.5" customHeight="1">
      <c r="A18" s="6" t="s">
        <v>66</v>
      </c>
      <c r="B18" s="5" t="s">
        <v>67</v>
      </c>
      <c r="C18" s="12"/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41.25" customHeight="1">
      <c r="A19" s="6" t="s">
        <v>68</v>
      </c>
      <c r="B19" s="5" t="s">
        <v>69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25.5">
      <c r="A20" s="8">
        <v>3.7</v>
      </c>
      <c r="B20" s="5" t="s">
        <v>18</v>
      </c>
      <c r="C20" s="12" t="s">
        <v>55</v>
      </c>
      <c r="D20" s="45">
        <f>1195106.1/I7*H7</f>
        <v>21512.37998076006</v>
      </c>
      <c r="E20" s="26">
        <f>D20/H7/12</f>
        <v>1.219854607872894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9"/>
      <c r="AR20" s="39"/>
    </row>
    <row r="21" spans="1:44" ht="25.5">
      <c r="A21" s="6">
        <v>3.8</v>
      </c>
      <c r="B21" s="5" t="s">
        <v>61</v>
      </c>
      <c r="C21" s="12" t="s">
        <v>55</v>
      </c>
      <c r="D21" s="45">
        <f>465900/I7*H7</f>
        <v>8386.383295203756</v>
      </c>
      <c r="E21" s="26">
        <f>D21/H7/12</f>
        <v>0.47554795495394186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8">
        <v>3.9</v>
      </c>
      <c r="B22" s="5" t="s">
        <v>19</v>
      </c>
      <c r="C22" s="12" t="s">
        <v>55</v>
      </c>
      <c r="D22" s="45">
        <f>372720/I7*H7</f>
        <v>6709.1066361630055</v>
      </c>
      <c r="E22" s="26">
        <f>D22/H7/12</f>
        <v>0.3804383639631536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6" t="s">
        <v>28</v>
      </c>
      <c r="B23" s="5" t="s">
        <v>62</v>
      </c>
      <c r="C23" s="12" t="s">
        <v>55</v>
      </c>
      <c r="D23" s="45"/>
      <c r="E23" s="2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29</v>
      </c>
      <c r="B24" s="5" t="s">
        <v>63</v>
      </c>
      <c r="C24" s="12"/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40.5" customHeight="1">
      <c r="A25" s="6" t="s">
        <v>30</v>
      </c>
      <c r="B25" s="5" t="s">
        <v>20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38.25">
      <c r="A26" s="6" t="s">
        <v>31</v>
      </c>
      <c r="B26" s="5" t="s">
        <v>21</v>
      </c>
      <c r="C26" s="12" t="s">
        <v>56</v>
      </c>
      <c r="D26" s="45">
        <f>1667922/I7*H7</f>
        <v>30023.252196829446</v>
      </c>
      <c r="E26" s="26">
        <f>D26/H7/12</f>
        <v>1.7024616787351121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3" customHeight="1">
      <c r="A27" s="6" t="s">
        <v>32</v>
      </c>
      <c r="B27" s="5" t="s">
        <v>70</v>
      </c>
      <c r="C27" s="12"/>
      <c r="D27" s="45"/>
      <c r="E27" s="2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41.25" customHeight="1">
      <c r="A28" s="6" t="s">
        <v>33</v>
      </c>
      <c r="B28" s="5" t="s">
        <v>22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34</v>
      </c>
      <c r="B29" s="5" t="s">
        <v>71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0.5" customHeight="1">
      <c r="A30" s="6" t="s">
        <v>35</v>
      </c>
      <c r="B30" s="5" t="s">
        <v>72</v>
      </c>
      <c r="C30" s="12" t="s">
        <v>52</v>
      </c>
      <c r="D30" s="46">
        <f>2743200/I7*H7</f>
        <v>49378.67923460602</v>
      </c>
      <c r="E30" s="26">
        <f>D30/H7/12</f>
        <v>2.8000067611711814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38.25">
      <c r="A31" s="6" t="s">
        <v>36</v>
      </c>
      <c r="B31" s="5" t="s">
        <v>64</v>
      </c>
      <c r="C31" s="12"/>
      <c r="D31" s="45"/>
      <c r="E31" s="2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40.5" customHeight="1">
      <c r="A32" s="6" t="s">
        <v>37</v>
      </c>
      <c r="B32" s="5" t="s">
        <v>73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39" customHeight="1">
      <c r="A33" s="6" t="s">
        <v>38</v>
      </c>
      <c r="B33" s="5" t="s">
        <v>74</v>
      </c>
      <c r="C33" s="12" t="s">
        <v>52</v>
      </c>
      <c r="D33" s="28">
        <f>1430400/I7*H7</f>
        <v>25747.762750503225</v>
      </c>
      <c r="E33" s="26">
        <f>D33/H7/12</f>
        <v>1.4600210233228559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39</v>
      </c>
      <c r="B34" s="5" t="s">
        <v>75</v>
      </c>
      <c r="C34" s="12"/>
      <c r="D34" s="28"/>
      <c r="E34" s="2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25.5">
      <c r="A35" s="6" t="s">
        <v>40</v>
      </c>
      <c r="B35" s="5" t="s">
        <v>60</v>
      </c>
      <c r="C35" s="12" t="s">
        <v>52</v>
      </c>
      <c r="D35" s="45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136.5" customHeight="1">
      <c r="A36" s="6" t="s">
        <v>41</v>
      </c>
      <c r="B36" s="56" t="s">
        <v>86</v>
      </c>
      <c r="C36" s="12" t="s">
        <v>52</v>
      </c>
      <c r="D36" s="45">
        <f>12530025.18/I7*H7</f>
        <v>225545.3828247144</v>
      </c>
      <c r="E36" s="26">
        <f>D36/H7/12</f>
        <v>12.789499570445157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38.25">
      <c r="A37" s="6" t="s">
        <v>44</v>
      </c>
      <c r="B37" s="5" t="s">
        <v>87</v>
      </c>
      <c r="C37" s="12" t="s">
        <v>58</v>
      </c>
      <c r="D37" s="45">
        <f>1023792/I7*H7</f>
        <v>18428.658782063198</v>
      </c>
      <c r="E37" s="26">
        <f>D37/H7/12</f>
        <v>1.0449928995454092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51">
      <c r="A38" s="6" t="s">
        <v>76</v>
      </c>
      <c r="B38" s="5" t="s">
        <v>85</v>
      </c>
      <c r="C38" s="12" t="s">
        <v>59</v>
      </c>
      <c r="D38" s="45">
        <f>5673500/I7*H7</f>
        <v>102125.23207842566</v>
      </c>
      <c r="E38" s="26">
        <f>D38/H7/12</f>
        <v>5.790988028399205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25.5">
      <c r="A39" s="6" t="s">
        <v>77</v>
      </c>
      <c r="B39" s="5" t="s">
        <v>23</v>
      </c>
      <c r="C39" s="16" t="s">
        <v>53</v>
      </c>
      <c r="D39" s="28">
        <f>2415000/I7*H7</f>
        <v>43470.95011358032</v>
      </c>
      <c r="E39" s="26">
        <f>D39/H7/12</f>
        <v>2.4650103267091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78</v>
      </c>
      <c r="B40" s="5" t="s">
        <v>24</v>
      </c>
      <c r="C40" s="12" t="s">
        <v>52</v>
      </c>
      <c r="D40" s="28">
        <v>0</v>
      </c>
      <c r="E40" s="26">
        <f>D40/H7/12</f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38.25">
      <c r="A41" s="6" t="s">
        <v>79</v>
      </c>
      <c r="B41" s="5" t="s">
        <v>25</v>
      </c>
      <c r="C41" s="13" t="s">
        <v>52</v>
      </c>
      <c r="D41" s="28">
        <f>1479364.92/I7*H7</f>
        <v>26629.150574368836</v>
      </c>
      <c r="E41" s="26">
        <f>D41/H7/12</f>
        <v>1.5099999191599096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25.5">
      <c r="A42" s="6" t="s">
        <v>42</v>
      </c>
      <c r="B42" s="5" t="s">
        <v>26</v>
      </c>
      <c r="C42" s="14" t="s">
        <v>52</v>
      </c>
      <c r="D42" s="45"/>
      <c r="E42" s="2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46</v>
      </c>
      <c r="B43" s="5" t="s">
        <v>47</v>
      </c>
      <c r="C43" s="12" t="s">
        <v>50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48</v>
      </c>
      <c r="B44" s="5" t="s">
        <v>49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4:5" ht="15">
      <c r="D45" s="11"/>
      <c r="E45" s="21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</sheetData>
  <sheetProtection/>
  <mergeCells count="8">
    <mergeCell ref="A2:F2"/>
    <mergeCell ref="A3:F3"/>
    <mergeCell ref="A4:F4"/>
    <mergeCell ref="A9:A10"/>
    <mergeCell ref="B9:B10"/>
    <mergeCell ref="D9:D10"/>
    <mergeCell ref="E9:E10"/>
    <mergeCell ref="A5:F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9"/>
  <sheetViews>
    <sheetView workbookViewId="0" topLeftCell="A1">
      <selection activeCell="H7" sqref="H7:J9"/>
    </sheetView>
  </sheetViews>
  <sheetFormatPr defaultColWidth="9.140625" defaultRowHeight="15"/>
  <cols>
    <col min="1" max="1" width="6.7109375" style="4" customWidth="1"/>
    <col min="2" max="2" width="45.28125" style="4" customWidth="1"/>
    <col min="3" max="3" width="17.7109375" style="4" hidden="1" customWidth="1"/>
    <col min="4" max="4" width="15.57421875" style="4" customWidth="1"/>
    <col min="5" max="5" width="17.421875" style="18" customWidth="1"/>
    <col min="6" max="6" width="10.140625" style="29" customWidth="1"/>
    <col min="7" max="7" width="10.57421875" style="30" customWidth="1"/>
    <col min="8" max="8" width="10.421875" style="30" customWidth="1"/>
    <col min="9" max="9" width="10.00390625" style="30" customWidth="1"/>
    <col min="10" max="10" width="9.8515625" style="30" customWidth="1"/>
    <col min="11" max="11" width="9.28125" style="30" customWidth="1"/>
    <col min="12" max="14" width="9.8515625" style="30" customWidth="1"/>
    <col min="15" max="23" width="9.8515625" style="30" hidden="1" customWidth="1"/>
    <col min="24" max="39" width="9.8515625" style="30" customWidth="1"/>
    <col min="40" max="40" width="11.421875" style="30" customWidth="1"/>
    <col min="41" max="41" width="11.00390625" style="30" customWidth="1"/>
    <col min="42" max="42" width="11.140625" style="30" customWidth="1"/>
    <col min="43" max="44" width="9.140625" style="30" customWidth="1"/>
    <col min="45" max="16384" width="9.140625" style="4" customWidth="1"/>
  </cols>
  <sheetData>
    <row r="1" spans="1:5" ht="15">
      <c r="A1" s="84"/>
      <c r="B1" s="84"/>
      <c r="C1" s="49"/>
      <c r="D1" s="49"/>
      <c r="E1" s="20"/>
    </row>
    <row r="2" spans="1:5" ht="15">
      <c r="A2" s="51"/>
      <c r="B2" s="51"/>
      <c r="C2" s="49"/>
      <c r="D2" s="49"/>
      <c r="E2" s="20"/>
    </row>
    <row r="3" spans="1:6" ht="15.75">
      <c r="A3" s="67" t="s">
        <v>81</v>
      </c>
      <c r="B3" s="67"/>
      <c r="C3" s="67"/>
      <c r="D3" s="67"/>
      <c r="E3" s="67"/>
      <c r="F3" s="67"/>
    </row>
    <row r="4" spans="1:6" ht="15.75">
      <c r="A4" s="67" t="s">
        <v>82</v>
      </c>
      <c r="B4" s="67"/>
      <c r="C4" s="67"/>
      <c r="D4" s="67"/>
      <c r="E4" s="67"/>
      <c r="F4" s="67"/>
    </row>
    <row r="5" spans="1:6" ht="15.75">
      <c r="A5" s="67" t="s">
        <v>83</v>
      </c>
      <c r="B5" s="67"/>
      <c r="C5" s="67"/>
      <c r="D5" s="67"/>
      <c r="E5" s="67"/>
      <c r="F5" s="67"/>
    </row>
    <row r="6" spans="1:6" ht="15">
      <c r="A6" s="78" t="s">
        <v>91</v>
      </c>
      <c r="B6" s="79"/>
      <c r="C6" s="79"/>
      <c r="D6" s="79"/>
      <c r="E6" s="79"/>
      <c r="F6" s="79"/>
    </row>
    <row r="7" spans="1:10" ht="15">
      <c r="A7" s="3"/>
      <c r="B7" s="3"/>
      <c r="C7" s="3"/>
      <c r="D7" s="3"/>
      <c r="E7" s="52"/>
      <c r="H7" s="85"/>
      <c r="I7" s="85"/>
      <c r="J7" s="85"/>
    </row>
    <row r="8" spans="1:10" ht="28.5">
      <c r="A8" s="9" t="s">
        <v>45</v>
      </c>
      <c r="B8" s="3"/>
      <c r="C8" s="3"/>
      <c r="D8" s="3"/>
      <c r="E8" s="47"/>
      <c r="H8" s="86">
        <f>'[1]СМЕТА'!$X$14</f>
        <v>3672.36</v>
      </c>
      <c r="I8" s="87">
        <f>'Л.47'!I7</f>
        <v>81642.66</v>
      </c>
      <c r="J8" s="85"/>
    </row>
    <row r="9" spans="4:10" ht="15">
      <c r="D9" s="15"/>
      <c r="H9" s="85"/>
      <c r="I9" s="85"/>
      <c r="J9" s="85"/>
    </row>
    <row r="10" spans="1:42" ht="42" customHeight="1">
      <c r="A10" s="74" t="s">
        <v>8</v>
      </c>
      <c r="B10" s="74" t="s">
        <v>4</v>
      </c>
      <c r="C10" s="27" t="s">
        <v>5</v>
      </c>
      <c r="D10" s="75" t="s">
        <v>6</v>
      </c>
      <c r="E10" s="77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</row>
    <row r="11" spans="1:42" ht="14.25" customHeight="1">
      <c r="A11" s="74"/>
      <c r="B11" s="74"/>
      <c r="C11" s="27"/>
      <c r="D11" s="76"/>
      <c r="E11" s="7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5"/>
    </row>
    <row r="12" spans="1:44" s="10" customFormat="1" ht="38.25">
      <c r="A12" s="22">
        <v>1</v>
      </c>
      <c r="B12" s="23" t="s">
        <v>13</v>
      </c>
      <c r="C12" s="24"/>
      <c r="D12" s="43">
        <f>D13+D14+D43+D44</f>
        <v>1507721.4475037241</v>
      </c>
      <c r="E12" s="48">
        <f>E13+E14+E43+E44</f>
        <v>34.213272652638544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7"/>
      <c r="AR12" s="37"/>
    </row>
    <row r="13" spans="1:44" ht="51.75" customHeight="1">
      <c r="A13" s="7">
        <v>2</v>
      </c>
      <c r="B13" s="5" t="s">
        <v>43</v>
      </c>
      <c r="C13" s="12" t="s">
        <v>52</v>
      </c>
      <c r="D13" s="44">
        <f>'2015-1'!D19/'Л.51'!I8*'Л.51'!H8</f>
        <v>85980.17308010298</v>
      </c>
      <c r="E13" s="25">
        <f>D13/H8/12</f>
        <v>1.9510653703182461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5"/>
      <c r="AQ13" s="39"/>
      <c r="AR13" s="39"/>
    </row>
    <row r="14" spans="1:44" ht="15">
      <c r="A14" s="7">
        <v>3</v>
      </c>
      <c r="B14" s="5" t="s">
        <v>27</v>
      </c>
      <c r="C14" s="12"/>
      <c r="D14" s="44">
        <f>D15+D16+D17+D18+D19+D20+D21+D22+D23+D24+D25+D26+D27+D28+D29+D30+D31+D32+D33+D34+D35+D36+D37+D38+D39+D40+D41+D42+D43+D44+D45</f>
        <v>1421741.2744236211</v>
      </c>
      <c r="E14" s="25">
        <f>SUM(E15:E45)</f>
        <v>32.2622072823203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</row>
    <row r="15" spans="1:44" ht="25.5">
      <c r="A15" s="8">
        <v>3.1</v>
      </c>
      <c r="B15" s="5" t="s">
        <v>14</v>
      </c>
      <c r="C15" s="12"/>
      <c r="D15" s="4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5"/>
      <c r="AQ15" s="39"/>
      <c r="AR15" s="39"/>
    </row>
    <row r="16" spans="1:44" ht="24">
      <c r="A16" s="6">
        <v>3.2</v>
      </c>
      <c r="B16" s="5" t="s">
        <v>15</v>
      </c>
      <c r="C16" s="12" t="s">
        <v>55</v>
      </c>
      <c r="D16" s="44">
        <f>'2015-1'!D22/'Л.51'!I8*'Л.51'!H8</f>
        <v>17283.45723647417</v>
      </c>
      <c r="E16" s="26">
        <f>D16/H8/12</f>
        <v>0.3921968715048399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9"/>
      <c r="AR16" s="39"/>
    </row>
    <row r="17" spans="1:44" ht="25.5">
      <c r="A17" s="8">
        <v>3.3</v>
      </c>
      <c r="B17" s="5" t="s">
        <v>16</v>
      </c>
      <c r="C17" s="12" t="s">
        <v>57</v>
      </c>
      <c r="D17" s="44">
        <f>'2015-1'!D23/'Л.51'!I8*'Л.51'!H8</f>
        <v>10053.180330974028</v>
      </c>
      <c r="E17" s="26">
        <f>D17/H8/12</f>
        <v>0.22812715190808333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/>
      <c r="AQ17" s="39"/>
      <c r="AR17" s="39"/>
    </row>
    <row r="18" spans="1:44" ht="34.5" customHeight="1">
      <c r="A18" s="6" t="s">
        <v>65</v>
      </c>
      <c r="B18" s="5" t="s">
        <v>17</v>
      </c>
      <c r="C18" s="12" t="s">
        <v>54</v>
      </c>
      <c r="D18" s="45"/>
      <c r="E18" s="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5"/>
      <c r="AQ18" s="39"/>
      <c r="AR18" s="39"/>
    </row>
    <row r="19" spans="1:44" ht="34.5" customHeight="1">
      <c r="A19" s="6" t="s">
        <v>66</v>
      </c>
      <c r="B19" s="5" t="s">
        <v>67</v>
      </c>
      <c r="C19" s="12"/>
      <c r="D19" s="45"/>
      <c r="E19" s="2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5"/>
      <c r="AQ19" s="39"/>
      <c r="AR19" s="39"/>
    </row>
    <row r="20" spans="1:44" ht="41.25" customHeight="1">
      <c r="A20" s="6" t="s">
        <v>68</v>
      </c>
      <c r="B20" s="5" t="s">
        <v>69</v>
      </c>
      <c r="C20" s="12"/>
      <c r="D20" s="45"/>
      <c r="E20" s="2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5"/>
      <c r="AQ20" s="39"/>
      <c r="AR20" s="39"/>
    </row>
    <row r="21" spans="1:44" ht="25.5">
      <c r="A21" s="8">
        <v>3.7</v>
      </c>
      <c r="B21" s="5" t="s">
        <v>18</v>
      </c>
      <c r="C21" s="12" t="s">
        <v>55</v>
      </c>
      <c r="D21" s="45">
        <f>1195106.1/I8*H8</f>
        <v>53756.943213217215</v>
      </c>
      <c r="E21" s="26">
        <f>D21/H8/12</f>
        <v>1.219854607872894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9"/>
      <c r="AR21" s="39"/>
    </row>
    <row r="22" spans="1:44" ht="25.5">
      <c r="A22" s="6">
        <v>3.8</v>
      </c>
      <c r="B22" s="5" t="s">
        <v>61</v>
      </c>
      <c r="C22" s="12" t="s">
        <v>55</v>
      </c>
      <c r="D22" s="45">
        <f>465900/I8*H8</f>
        <v>20956.5994542559</v>
      </c>
      <c r="E22" s="26">
        <f>D22/H8/12</f>
        <v>0.4755479549539419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9"/>
      <c r="AR22" s="39"/>
    </row>
    <row r="23" spans="1:44" ht="25.5">
      <c r="A23" s="8">
        <v>3.9</v>
      </c>
      <c r="B23" s="5" t="s">
        <v>19</v>
      </c>
      <c r="C23" s="12" t="s">
        <v>55</v>
      </c>
      <c r="D23" s="45">
        <f>372720/I8*H8</f>
        <v>16765.27956340472</v>
      </c>
      <c r="E23" s="26">
        <f>D23/H8/12</f>
        <v>0.3804383639631536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9"/>
      <c r="AR23" s="39"/>
    </row>
    <row r="24" spans="1:44" ht="25.5">
      <c r="A24" s="6" t="s">
        <v>28</v>
      </c>
      <c r="B24" s="5" t="s">
        <v>62</v>
      </c>
      <c r="C24" s="12" t="s">
        <v>55</v>
      </c>
      <c r="D24" s="45"/>
      <c r="E24" s="2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9"/>
      <c r="AR24" s="39"/>
    </row>
    <row r="25" spans="1:44" ht="25.5">
      <c r="A25" s="6" t="s">
        <v>29</v>
      </c>
      <c r="B25" s="5" t="s">
        <v>63</v>
      </c>
      <c r="C25" s="12"/>
      <c r="D25" s="45"/>
      <c r="E25" s="2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9"/>
      <c r="AR25" s="39"/>
    </row>
    <row r="26" spans="1:44" ht="40.5" customHeight="1">
      <c r="A26" s="6" t="s">
        <v>30</v>
      </c>
      <c r="B26" s="5" t="s">
        <v>20</v>
      </c>
      <c r="C26" s="12"/>
      <c r="D26" s="45"/>
      <c r="E26" s="2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9"/>
      <c r="AR26" s="39"/>
    </row>
    <row r="27" spans="1:44" ht="38.25">
      <c r="A27" s="6" t="s">
        <v>31</v>
      </c>
      <c r="B27" s="5" t="s">
        <v>21</v>
      </c>
      <c r="C27" s="12" t="s">
        <v>56</v>
      </c>
      <c r="D27" s="45">
        <f>1667922/I8*H8</f>
        <v>75024.62604623612</v>
      </c>
      <c r="E27" s="26">
        <f>D27/H8/12</f>
        <v>1.7024616787351121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9"/>
      <c r="AR27" s="39"/>
    </row>
    <row r="28" spans="1:44" ht="33" customHeight="1">
      <c r="A28" s="6" t="s">
        <v>32</v>
      </c>
      <c r="B28" s="5" t="s">
        <v>70</v>
      </c>
      <c r="C28" s="12"/>
      <c r="D28" s="45"/>
      <c r="E28" s="2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9"/>
      <c r="AR28" s="39"/>
    </row>
    <row r="29" spans="1:44" ht="41.25" customHeight="1">
      <c r="A29" s="6" t="s">
        <v>33</v>
      </c>
      <c r="B29" s="5" t="s">
        <v>22</v>
      </c>
      <c r="C29" s="12"/>
      <c r="D29" s="45"/>
      <c r="E29" s="2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9"/>
      <c r="AR29" s="39"/>
    </row>
    <row r="30" spans="1:44" ht="41.25" customHeight="1">
      <c r="A30" s="6" t="s">
        <v>34</v>
      </c>
      <c r="B30" s="5" t="s">
        <v>71</v>
      </c>
      <c r="C30" s="12"/>
      <c r="D30" s="45"/>
      <c r="E30" s="2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9"/>
      <c r="AR30" s="39"/>
    </row>
    <row r="31" spans="1:44" ht="40.5" customHeight="1">
      <c r="A31" s="6" t="s">
        <v>35</v>
      </c>
      <c r="B31" s="5" t="s">
        <v>72</v>
      </c>
      <c r="C31" s="12" t="s">
        <v>52</v>
      </c>
      <c r="D31" s="46">
        <f>2743200/I8*H8</f>
        <v>123391.5939534552</v>
      </c>
      <c r="E31" s="26">
        <f>D31/H8/12</f>
        <v>2.8000067611711814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/>
      <c r="AQ31" s="39"/>
      <c r="AR31" s="39"/>
    </row>
    <row r="32" spans="1:44" ht="38.25">
      <c r="A32" s="6" t="s">
        <v>36</v>
      </c>
      <c r="B32" s="5" t="s">
        <v>64</v>
      </c>
      <c r="C32" s="12"/>
      <c r="D32" s="45"/>
      <c r="E32" s="2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9"/>
      <c r="AR32" s="39"/>
    </row>
    <row r="33" spans="1:44" ht="40.5" customHeight="1">
      <c r="A33" s="6" t="s">
        <v>37</v>
      </c>
      <c r="B33" s="5" t="s">
        <v>73</v>
      </c>
      <c r="C33" s="12"/>
      <c r="D33" s="45"/>
      <c r="E33" s="2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9"/>
      <c r="AR33" s="39"/>
    </row>
    <row r="34" spans="1:44" ht="39" customHeight="1">
      <c r="A34" s="6" t="s">
        <v>38</v>
      </c>
      <c r="B34" s="5" t="s">
        <v>74</v>
      </c>
      <c r="C34" s="12" t="s">
        <v>52</v>
      </c>
      <c r="D34" s="28">
        <f>1430400/I8*H8</f>
        <v>64340.673662519075</v>
      </c>
      <c r="E34" s="26">
        <f>D34/H8/12</f>
        <v>1.4600210233228559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9"/>
      <c r="AR34" s="39"/>
    </row>
    <row r="35" spans="1:44" ht="39" customHeight="1">
      <c r="A35" s="6" t="s">
        <v>39</v>
      </c>
      <c r="B35" s="5" t="s">
        <v>75</v>
      </c>
      <c r="C35" s="12"/>
      <c r="D35" s="28"/>
      <c r="E35" s="2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9"/>
      <c r="AR35" s="39"/>
    </row>
    <row r="36" spans="1:44" ht="25.5">
      <c r="A36" s="6" t="s">
        <v>40</v>
      </c>
      <c r="B36" s="5" t="s">
        <v>60</v>
      </c>
      <c r="C36" s="12" t="s">
        <v>52</v>
      </c>
      <c r="D36" s="45"/>
      <c r="E36" s="2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9"/>
      <c r="AR36" s="39"/>
    </row>
    <row r="37" spans="1:44" ht="129.75" customHeight="1">
      <c r="A37" s="6" t="s">
        <v>41</v>
      </c>
      <c r="B37" s="56" t="s">
        <v>86</v>
      </c>
      <c r="C37" s="12" t="s">
        <v>52</v>
      </c>
      <c r="D37" s="45">
        <f>12530025.18/I8*H8</f>
        <v>563611.7597102397</v>
      </c>
      <c r="E37" s="26">
        <f>D37/H8/12</f>
        <v>12.789499570445157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9"/>
      <c r="AR37" s="39"/>
    </row>
    <row r="38" spans="1:44" ht="38.25">
      <c r="A38" s="6" t="s">
        <v>44</v>
      </c>
      <c r="B38" s="5" t="s">
        <v>87</v>
      </c>
      <c r="C38" s="12" t="s">
        <v>58</v>
      </c>
      <c r="D38" s="45">
        <f>1023792/I8*H8</f>
        <v>46051.08149489495</v>
      </c>
      <c r="E38" s="26">
        <f>D38/H8/12</f>
        <v>1.0449928995454092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9"/>
      <c r="AR38" s="39"/>
    </row>
    <row r="39" spans="1:44" ht="51">
      <c r="A39" s="6" t="s">
        <v>76</v>
      </c>
      <c r="B39" s="5" t="s">
        <v>85</v>
      </c>
      <c r="C39" s="12" t="s">
        <v>59</v>
      </c>
      <c r="D39" s="45">
        <f>5676500/I8*H8</f>
        <v>255334.05623971586</v>
      </c>
      <c r="E39" s="26">
        <f>D39/H8/12</f>
        <v>5.794050153028658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9"/>
      <c r="AR39" s="39"/>
    </row>
    <row r="40" spans="1:44" ht="25.5">
      <c r="A40" s="6" t="s">
        <v>77</v>
      </c>
      <c r="B40" s="5" t="s">
        <v>23</v>
      </c>
      <c r="C40" s="16" t="s">
        <v>53</v>
      </c>
      <c r="D40" s="28">
        <f>2415000/I8*H8</f>
        <v>108628.86388072118</v>
      </c>
      <c r="E40" s="26">
        <f>D40/H8/12</f>
        <v>2.4650103267091006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9"/>
      <c r="AR40" s="39"/>
    </row>
    <row r="41" spans="1:44" ht="25.5">
      <c r="A41" s="6" t="s">
        <v>78</v>
      </c>
      <c r="B41" s="5" t="s">
        <v>24</v>
      </c>
      <c r="C41" s="12" t="s">
        <v>52</v>
      </c>
      <c r="D41" s="28">
        <v>0</v>
      </c>
      <c r="E41" s="26">
        <f>D41/H8/12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9"/>
      <c r="AR41" s="39"/>
    </row>
    <row r="42" spans="1:44" ht="38.25">
      <c r="A42" s="6" t="s">
        <v>79</v>
      </c>
      <c r="B42" s="5" t="s">
        <v>25</v>
      </c>
      <c r="C42" s="13" t="s">
        <v>52</v>
      </c>
      <c r="D42" s="28">
        <f>1479364.92/I8*H8</f>
        <v>66543.15963751303</v>
      </c>
      <c r="E42" s="26">
        <f>D42/H8/12</f>
        <v>1.5099999191599096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9"/>
      <c r="AR42" s="39"/>
    </row>
    <row r="43" spans="1:44" ht="25.5">
      <c r="A43" s="6" t="s">
        <v>42</v>
      </c>
      <c r="B43" s="5" t="s">
        <v>26</v>
      </c>
      <c r="C43" s="14" t="s">
        <v>52</v>
      </c>
      <c r="D43" s="45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9"/>
      <c r="AR43" s="39"/>
    </row>
    <row r="44" spans="1:44" ht="25.5">
      <c r="A44" s="6" t="s">
        <v>46</v>
      </c>
      <c r="B44" s="5" t="s">
        <v>47</v>
      </c>
      <c r="C44" s="12" t="s">
        <v>50</v>
      </c>
      <c r="D44" s="45"/>
      <c r="E44" s="2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9"/>
      <c r="AR44" s="39"/>
    </row>
    <row r="45" spans="1:44" ht="25.5">
      <c r="A45" s="6" t="s">
        <v>48</v>
      </c>
      <c r="B45" s="5" t="s">
        <v>49</v>
      </c>
      <c r="C45" s="12" t="s">
        <v>50</v>
      </c>
      <c r="D45" s="45"/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9"/>
      <c r="AR45" s="39"/>
    </row>
    <row r="46" spans="4:5" ht="15">
      <c r="D46" s="11"/>
      <c r="E46" s="21"/>
    </row>
    <row r="47" spans="4:5" ht="15">
      <c r="D47" s="11"/>
      <c r="E47" s="21"/>
    </row>
    <row r="48" spans="4:5" ht="15">
      <c r="D48" s="11"/>
      <c r="E48" s="21"/>
    </row>
    <row r="49" spans="4:5" ht="15">
      <c r="D49" s="11"/>
      <c r="E49" s="21"/>
    </row>
    <row r="50" spans="4:5" ht="15">
      <c r="D50" s="11"/>
      <c r="E50" s="21"/>
    </row>
    <row r="51" spans="4:5" ht="15">
      <c r="D51" s="11"/>
      <c r="E51" s="21"/>
    </row>
    <row r="52" spans="4:5" ht="15">
      <c r="D52" s="11"/>
      <c r="E52" s="21"/>
    </row>
    <row r="53" spans="4:5" ht="15">
      <c r="D53" s="11"/>
      <c r="E53" s="21"/>
    </row>
    <row r="54" spans="4:5" ht="15">
      <c r="D54" s="11"/>
      <c r="E54" s="21"/>
    </row>
    <row r="55" spans="4:5" ht="15">
      <c r="D55" s="11"/>
      <c r="E55" s="21"/>
    </row>
    <row r="56" spans="4:5" ht="15">
      <c r="D56" s="11"/>
      <c r="E56" s="21"/>
    </row>
    <row r="57" spans="4:5" ht="15">
      <c r="D57" s="11"/>
      <c r="E57" s="21"/>
    </row>
    <row r="58" spans="4:5" ht="15">
      <c r="D58" s="11"/>
      <c r="E58" s="21"/>
    </row>
    <row r="59" spans="4:5" ht="15">
      <c r="D59" s="11"/>
      <c r="E59" s="21"/>
    </row>
    <row r="60" spans="4:5" ht="15">
      <c r="D60" s="11"/>
      <c r="E60" s="21"/>
    </row>
    <row r="61" spans="4:5" ht="15">
      <c r="D61" s="11"/>
      <c r="E61" s="21"/>
    </row>
    <row r="62" spans="4:5" ht="15">
      <c r="D62" s="11"/>
      <c r="E62" s="21"/>
    </row>
    <row r="63" spans="4:5" ht="15">
      <c r="D63" s="11"/>
      <c r="E63" s="21"/>
    </row>
    <row r="64" spans="4:5" ht="15">
      <c r="D64" s="11"/>
      <c r="E64" s="21"/>
    </row>
    <row r="65" spans="4:5" ht="15">
      <c r="D65" s="11"/>
      <c r="E65" s="21"/>
    </row>
    <row r="66" spans="4:5" ht="15">
      <c r="D66" s="11"/>
      <c r="E66" s="21"/>
    </row>
    <row r="67" spans="4:5" ht="15">
      <c r="D67" s="11"/>
      <c r="E67" s="21"/>
    </row>
    <row r="68" spans="4:5" ht="15">
      <c r="D68" s="11"/>
      <c r="E68" s="21"/>
    </row>
    <row r="69" spans="4:5" ht="15">
      <c r="D69" s="11"/>
      <c r="E69" s="21"/>
    </row>
    <row r="70" spans="4:5" ht="15">
      <c r="D70" s="11"/>
      <c r="E70" s="21"/>
    </row>
    <row r="71" spans="4:5" ht="15">
      <c r="D71" s="11"/>
      <c r="E71" s="21"/>
    </row>
    <row r="72" spans="4:5" ht="15">
      <c r="D72" s="11"/>
      <c r="E72" s="21"/>
    </row>
    <row r="73" spans="4:5" ht="15">
      <c r="D73" s="11"/>
      <c r="E73" s="21"/>
    </row>
    <row r="74" spans="4:5" ht="15">
      <c r="D74" s="11"/>
      <c r="E74" s="21"/>
    </row>
    <row r="75" spans="4:5" ht="15">
      <c r="D75" s="11"/>
      <c r="E75" s="21"/>
    </row>
    <row r="76" spans="4:5" ht="15">
      <c r="D76" s="11"/>
      <c r="E76" s="21"/>
    </row>
    <row r="77" spans="4:5" ht="15">
      <c r="D77" s="11"/>
      <c r="E77" s="21"/>
    </row>
    <row r="78" spans="4:5" ht="15">
      <c r="D78" s="11"/>
      <c r="E78" s="21"/>
    </row>
    <row r="79" spans="4:5" ht="15">
      <c r="D79" s="11"/>
      <c r="E79" s="21"/>
    </row>
    <row r="80" spans="4:5" ht="15">
      <c r="D80" s="11"/>
      <c r="E80" s="21"/>
    </row>
    <row r="81" spans="4:5" ht="15">
      <c r="D81" s="11"/>
      <c r="E81" s="21"/>
    </row>
    <row r="82" spans="4:5" ht="15">
      <c r="D82" s="11"/>
      <c r="E82" s="21"/>
    </row>
    <row r="83" spans="4:5" ht="15">
      <c r="D83" s="11"/>
      <c r="E83" s="21"/>
    </row>
    <row r="84" spans="4:5" ht="15">
      <c r="D84" s="11"/>
      <c r="E84" s="21"/>
    </row>
    <row r="85" spans="4:5" ht="15">
      <c r="D85" s="11"/>
      <c r="E85" s="21"/>
    </row>
    <row r="86" spans="4:5" ht="15">
      <c r="D86" s="11"/>
      <c r="E86" s="21"/>
    </row>
    <row r="87" spans="4:5" ht="15">
      <c r="D87" s="11"/>
      <c r="E87" s="21"/>
    </row>
    <row r="88" spans="4:5" ht="15">
      <c r="D88" s="11"/>
      <c r="E88" s="21"/>
    </row>
    <row r="89" spans="4:5" ht="15">
      <c r="D89" s="11"/>
      <c r="E89" s="21"/>
    </row>
    <row r="90" spans="4:5" ht="15">
      <c r="D90" s="11"/>
      <c r="E90" s="21"/>
    </row>
    <row r="91" spans="4:5" ht="15">
      <c r="D91" s="11"/>
      <c r="E91" s="21"/>
    </row>
    <row r="92" spans="4:5" ht="15">
      <c r="D92" s="11"/>
      <c r="E92" s="21"/>
    </row>
    <row r="93" spans="4:5" ht="15">
      <c r="D93" s="11"/>
      <c r="E93" s="21"/>
    </row>
    <row r="94" spans="4:5" ht="15">
      <c r="D94" s="11"/>
      <c r="E94" s="21"/>
    </row>
    <row r="95" spans="4:5" ht="15">
      <c r="D95" s="11"/>
      <c r="E95" s="21"/>
    </row>
    <row r="96" spans="4:5" ht="15">
      <c r="D96" s="11"/>
      <c r="E96" s="21"/>
    </row>
    <row r="97" spans="4:5" ht="15">
      <c r="D97" s="11"/>
      <c r="E97" s="21"/>
    </row>
    <row r="98" spans="4:5" ht="15">
      <c r="D98" s="11"/>
      <c r="E98" s="21"/>
    </row>
    <row r="99" spans="4:5" ht="15">
      <c r="D99" s="11"/>
      <c r="E99" s="21"/>
    </row>
    <row r="100" spans="4:5" ht="15">
      <c r="D100" s="11"/>
      <c r="E100" s="21"/>
    </row>
    <row r="101" spans="4:5" ht="15">
      <c r="D101" s="11"/>
      <c r="E101" s="21"/>
    </row>
    <row r="102" spans="4:5" ht="15">
      <c r="D102" s="11"/>
      <c r="E102" s="21"/>
    </row>
    <row r="103" spans="4:5" ht="15">
      <c r="D103" s="11"/>
      <c r="E103" s="21"/>
    </row>
    <row r="104" spans="4:5" ht="15">
      <c r="D104" s="11"/>
      <c r="E104" s="21"/>
    </row>
    <row r="105" spans="4:5" ht="15">
      <c r="D105" s="11"/>
      <c r="E105" s="21"/>
    </row>
    <row r="106" spans="4:5" ht="15">
      <c r="D106" s="11"/>
      <c r="E106" s="21"/>
    </row>
    <row r="107" spans="4:5" ht="15">
      <c r="D107" s="11"/>
      <c r="E107" s="21"/>
    </row>
    <row r="108" spans="4:5" ht="15">
      <c r="D108" s="11"/>
      <c r="E108" s="21"/>
    </row>
    <row r="109" spans="4:5" ht="15">
      <c r="D109" s="11"/>
      <c r="E109" s="21"/>
    </row>
    <row r="110" spans="4:5" ht="15">
      <c r="D110" s="11"/>
      <c r="E110" s="21"/>
    </row>
    <row r="111" spans="4:5" ht="15">
      <c r="D111" s="11"/>
      <c r="E111" s="21"/>
    </row>
    <row r="112" spans="4:5" ht="15">
      <c r="D112" s="11"/>
      <c r="E112" s="21"/>
    </row>
    <row r="113" spans="4:5" ht="15">
      <c r="D113" s="11"/>
      <c r="E113" s="21"/>
    </row>
    <row r="114" spans="4:5" ht="15">
      <c r="D114" s="11"/>
      <c r="E114" s="21"/>
    </row>
    <row r="115" spans="4:5" ht="15">
      <c r="D115" s="11"/>
      <c r="E115" s="21"/>
    </row>
    <row r="116" spans="4:5" ht="15">
      <c r="D116" s="11"/>
      <c r="E116" s="21"/>
    </row>
    <row r="117" spans="4:5" ht="15">
      <c r="D117" s="11"/>
      <c r="E117" s="21"/>
    </row>
    <row r="118" spans="4:5" ht="15">
      <c r="D118" s="11"/>
      <c r="E118" s="21"/>
    </row>
    <row r="119" spans="4:5" ht="15">
      <c r="D119" s="11"/>
      <c r="E119" s="21"/>
    </row>
  </sheetData>
  <sheetProtection/>
  <mergeCells count="9">
    <mergeCell ref="A4:F4"/>
    <mergeCell ref="A5:F5"/>
    <mergeCell ref="A10:A11"/>
    <mergeCell ref="B10:B11"/>
    <mergeCell ref="D10:D11"/>
    <mergeCell ref="E10:E11"/>
    <mergeCell ref="A6:F6"/>
    <mergeCell ref="A3:F3"/>
    <mergeCell ref="A1:B1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12345</cp:lastModifiedBy>
  <cp:lastPrinted>2015-01-04T05:20:18Z</cp:lastPrinted>
  <dcterms:created xsi:type="dcterms:W3CDTF">2014-11-26T06:41:23Z</dcterms:created>
  <dcterms:modified xsi:type="dcterms:W3CDTF">2015-04-09T11:22:11Z</dcterms:modified>
  <cp:category/>
  <cp:version/>
  <cp:contentType/>
  <cp:contentStatus/>
</cp:coreProperties>
</file>