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130" firstSheet="12" activeTab="26"/>
  </bookViews>
  <sheets>
    <sheet name="2015-1" sheetId="1" r:id="rId1"/>
    <sheet name="бак.37" sheetId="2" r:id="rId2"/>
    <sheet name="бак.39" sheetId="3" r:id="rId3"/>
    <sheet name="бак.41" sheetId="4" r:id="rId4"/>
    <sheet name="бак.47" sheetId="5" r:id="rId5"/>
    <sheet name="бак.49" sheetId="6" r:id="rId6"/>
    <sheet name="бак.51" sheetId="7" r:id="rId7"/>
    <sheet name="бак.53" sheetId="8" r:id="rId8"/>
    <sheet name="бак.55" sheetId="9" r:id="rId9"/>
    <sheet name="бак.57" sheetId="10" r:id="rId10"/>
    <sheet name="бак.59" sheetId="11" r:id="rId11"/>
    <sheet name="бак.61" sheetId="12" r:id="rId12"/>
    <sheet name="бак.63" sheetId="13" r:id="rId13"/>
    <sheet name="бак.65" sheetId="14" r:id="rId14"/>
    <sheet name="бак.67" sheetId="15" r:id="rId15"/>
    <sheet name="лен.1" sheetId="16" r:id="rId16"/>
    <sheet name="лен.3" sheetId="17" r:id="rId17"/>
    <sheet name="лен.5" sheetId="18" r:id="rId18"/>
    <sheet name="лен.7" sheetId="19" r:id="rId19"/>
    <sheet name="лен.9" sheetId="20" r:id="rId20"/>
    <sheet name="лен.11" sheetId="21" r:id="rId21"/>
    <sheet name="лен.13" sheetId="22" r:id="rId22"/>
    <sheet name="лен.15" sheetId="23" r:id="rId23"/>
    <sheet name="лен.17" sheetId="24" r:id="rId24"/>
    <sheet name="лен.19" sheetId="25" r:id="rId25"/>
    <sheet name="лен.21" sheetId="26" r:id="rId26"/>
    <sheet name="бак.35" sheetId="27" r:id="rId27"/>
  </sheets>
  <definedNames/>
  <calcPr fullCalcOnLoad="1" refMode="R1C1"/>
</workbook>
</file>

<file path=xl/sharedStrings.xml><?xml version="1.0" encoding="utf-8"?>
<sst xmlns="http://schemas.openxmlformats.org/spreadsheetml/2006/main" count="2881" uniqueCount="151">
  <si>
    <t>Утвержден</t>
  </si>
  <si>
    <t>решением общего собрания собственников помещений</t>
  </si>
  <si>
    <t>в многоквартирном доме</t>
  </si>
  <si>
    <t>протокол № ___ от ____________</t>
  </si>
  <si>
    <t>Наименование работ, услуг</t>
  </si>
  <si>
    <t xml:space="preserve">Периодичность (график, срок) выполнения </t>
  </si>
  <si>
    <t>Годовая стоимость работ, услуг в целом по дому, руб. (на дату заключения Договора)</t>
  </si>
  <si>
    <t>Стоимость работ, услуг в расчете на 1 кв. м общей площади помещений в месяц, руб.</t>
  </si>
  <si>
    <t>№ п/п</t>
  </si>
  <si>
    <t>Приложение № 9</t>
  </si>
  <si>
    <t>от " ___ "________________ г.</t>
  </si>
  <si>
    <t>к Договору ________________</t>
  </si>
  <si>
    <t xml:space="preserve">Перечень работ, услуг по управлению многоквартирным домом, содержанию и ремонту общего имущества в многоквартирном доме, определение их  стоимости и размера платы за содержание и ремонт общего имущества многоквартирного дома 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</si>
  <si>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</si>
  <si>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>Работы, выполняемые в отношении всех видов фундаментов</t>
  </si>
  <si>
    <t>Работы, выполняемые в зданиях с подвалами</t>
  </si>
  <si>
    <t>Работы, выполняемые для надлежащего содержания стен</t>
  </si>
  <si>
    <t>Работы, выполняемые в целях надлежащего содержания перекрытий и покрытий</t>
  </si>
  <si>
    <t>Работы, выполняемые в целях надлежащего содержания крыш</t>
  </si>
  <si>
    <t>Работы, выполняемые в целях надлежащего содержания фасадов</t>
  </si>
  <si>
    <t>Работы, выполняемые в целях надлежащего содержания полов помещений, относящихся к общему имуществу</t>
  </si>
  <si>
    <t>Работы, выполняемые в целях надлежащего содержания оконных и дверных заполнений помещений, относящихся к общему имуществу</t>
  </si>
  <si>
    <t>Работы, выполняемые в целях надлежащего содержания систем вентиляции и дымоудаления</t>
  </si>
  <si>
    <t>Работы по содержанию придомовой территории в холодный период года</t>
  </si>
  <si>
    <t>Работы по содержанию придомовой территории в теплый период года</t>
  </si>
  <si>
    <t>Работы по обеспечению вывоза бытовых отходов, в том числе откачке жидких бытовых отходов</t>
  </si>
  <si>
    <t>Работы по обеспечению требований пожарной безопасности</t>
  </si>
  <si>
    <t>Работы по обеспечению устранения аварий на внутридомовых инженерных системах, выполнения заявок населения</t>
  </si>
  <si>
    <t xml:space="preserve">Коммунальные услуги на общедомовые нужды (водоснабжение, электроэнергия) </t>
  </si>
  <si>
    <t>Работы, услуги по содержанию общего имущества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</si>
  <si>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</si>
  <si>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</si>
  <si>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</si>
  <si>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</si>
  <si>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</si>
  <si>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</si>
  <si>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</si>
  <si>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</si>
  <si>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</si>
  <si>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</si>
  <si>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</si>
  <si>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</si>
  <si>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</si>
  <si>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</si>
  <si>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4</t>
  </si>
  <si>
    <r>
      <t xml:space="preserve">Услуги по управлению многоквартирным домом
</t>
    </r>
    <r>
      <rPr>
        <sz val="8"/>
        <rFont val="Times New Roman"/>
        <family val="1"/>
      </rPr>
      <t>(в соответствии с перечнем, установленным в п.4 Стандартов управления многоквартирным домом)</t>
    </r>
  </si>
  <si>
    <t>3.24</t>
  </si>
  <si>
    <t>1. Перечень работ, услуг по управлению многоквартирным домом и содержанию общего имущества в многоквартирном доме</t>
  </si>
  <si>
    <t>5</t>
  </si>
  <si>
    <t>Обслужавание системы ограниченного доступа «домофон» с абонентским устройством</t>
  </si>
  <si>
    <t>5.1</t>
  </si>
  <si>
    <t>Обслужавание системы ограниченного доступа «домофон» без абонентского устройства</t>
  </si>
  <si>
    <t>стоимость с квартиры</t>
  </si>
  <si>
    <t>г. Когалым</t>
  </si>
  <si>
    <t>постоянно</t>
  </si>
  <si>
    <t>ежедневно</t>
  </si>
  <si>
    <t>по мере необходимости</t>
  </si>
  <si>
    <t>по необходимости, но не реже 1 раз в год</t>
  </si>
  <si>
    <t>1 раз в год при подготовке к ОЗП</t>
  </si>
  <si>
    <t xml:space="preserve">1 раз в год </t>
  </si>
  <si>
    <t>1 раз в день</t>
  </si>
  <si>
    <t>6 раз в неделю</t>
  </si>
  <si>
    <t>Работы, выполняемые в целях надлежащего содержания лифта (лифтов)</t>
  </si>
  <si>
    <t>Работы по содержанию помещений, входящих в состав общего имущества</t>
  </si>
  <si>
    <t>Работы, выполняемые в целях надлежащего содержания лестниц</t>
  </si>
  <si>
    <t>Работы, выполняемые в целях надлежащего содержания перегородок</t>
  </si>
  <si>
    <t>Работы, выполняемые в целях надлежащего содержания внутренней отделки</t>
  </si>
  <si>
    <t>Общие работы, выполняемые для надлежащего содержания систем водоснабжения (холодного и горячего), отопления и водоотведения</t>
  </si>
  <si>
    <t>3.4</t>
  </si>
  <si>
    <t>3.5</t>
  </si>
  <si>
    <t>Работы,выполняемые в целях надлежащего содержания колон и столбов</t>
  </si>
  <si>
    <t>3.6</t>
  </si>
  <si>
    <t>Работы,выполняемые в целях надлежащего содержания балок (ригелей)перекрытий и покрытий</t>
  </si>
  <si>
    <t>Работы, выполняемые в целях надлежащего содержания мусоропроводов</t>
  </si>
  <si>
    <t>Работы, выполняемые в целях надлежащего содержания печей,каминов и очагов</t>
  </si>
  <si>
    <t>Работы, выполняемые в целях надлежащего содержания  индивидуальных тепловых пунктов и водоподкачек</t>
  </si>
  <si>
    <t>Работы, выполняемые в целях надлежащего содержания систем теплоснабжения (отопление,горячее водоснабжение)</t>
  </si>
  <si>
    <t>Работы, выполняемые в целях надлежащего содержания электрооборудования,радио и телекоммуникационного оборудования</t>
  </si>
  <si>
    <t>Работы, выполняемые в целях надлежащего содержания систем внутридомового газового оборудования</t>
  </si>
  <si>
    <t>3.25</t>
  </si>
  <si>
    <t>3.26</t>
  </si>
  <si>
    <t>3.27</t>
  </si>
  <si>
    <t>3.28</t>
  </si>
  <si>
    <t>решением общего собрания</t>
  </si>
  <si>
    <t>собственников помещений</t>
  </si>
  <si>
    <t>протокол №_____ от _____________20___г.</t>
  </si>
  <si>
    <t xml:space="preserve">Перечень работ,услуг по управлению многоквартирным домом,содержанию и ремонту </t>
  </si>
  <si>
    <t>общего имущества в многоквартирном доме,определение их стоимости и размера платы</t>
  </si>
  <si>
    <t>за содержание и ремонт общего имущества многоквартирного дома</t>
  </si>
  <si>
    <t>г.Когалым,ул. Бакинская, дом 37, общая площадь жилых и нежилых  помещений 1481,6 м2</t>
  </si>
  <si>
    <t>г.Когалым,ул. Бакинская, дом 39, общая площадь жилых и нежилых  помещений 3668,8 м2</t>
  </si>
  <si>
    <t>г.Когалым,ул. Бакинская, дом 41, общая площадь жилых и нежилых  помещений 3664,36 м2</t>
  </si>
  <si>
    <t>г.Когалым,ул. Бакинская, дом 47, общая площадь жилых и нежилых  помещений 1462,8 м2</t>
  </si>
  <si>
    <t>г.Когалым,ул. Бакинская, дом 49, общая площадь жилых и нежилых  помещений 3799,73 м2</t>
  </si>
  <si>
    <t>г.Когалым,ул. Бакинская, дом 51, общая площадь жилых и нежилых  помещений 1461,63 м2</t>
  </si>
  <si>
    <t>г.Когалым,ул. Бакинская, дом 53, общая площадь жилых и нежилых  помещений 3796 м2</t>
  </si>
  <si>
    <t>г.Когалым,ул. Бакинская, дом 55, общая площадь жилых и нежилых  помещений 3677,3 м2</t>
  </si>
  <si>
    <t>г.Когалым,ул. Бакинская, дом 57, общая площадь жилых и нежилых  помещений 3678,2 м2</t>
  </si>
  <si>
    <t>г.Когалым,ул. Бакинская, дом 59, общая площадь жилых и нежилых  помещений 1794,2 м2</t>
  </si>
  <si>
    <t>г.Когалым,ул. Бакинская, дом 61, общая площадь жилых и нежилых  помещений 2670,79 м2</t>
  </si>
  <si>
    <t>г.Когалым,ул. Бакинская, дом 63, общая площадь жилых и нежилых  помещений 2651,2 м2</t>
  </si>
  <si>
    <t>г.Когалым,ул. Бакинская, дом 65, общая площадь жилых и нежилых  помещений 2653,4 м2</t>
  </si>
  <si>
    <t>г.Когалым,ул. Бакинская, дом 67, общая площадь жилых и нежилых  помещений 1789,2 м2</t>
  </si>
  <si>
    <t>г.Когалым,ул. Ленинградская, дом 1, общая площадь жилых и нежилых  помещений 3536,6 м2</t>
  </si>
  <si>
    <t>г.Когалым,ул. Ленинградская, дом 3, общая площадь жилых и нежилых  помещений 3539,68 м2</t>
  </si>
  <si>
    <t>г.Когалым,ул. Ленинградская, дом 5, общая площадь жилых и нежилых  помещений 1412,9 м2</t>
  </si>
  <si>
    <t>г.Когалым,ул. Ленинградская, дом 7, общая площадь жилых и нежилых  помещений 1415,64 м2</t>
  </si>
  <si>
    <t>г.Когалым,ул. Ленинградская, дом 9, общая площадь жилых и нежилых  помещений 3548,8 м2</t>
  </si>
  <si>
    <t>г.Когалым,ул. Ленинградская, дом 11, общая площадь жилых и нежилых  помещений 3493,4 м2</t>
  </si>
  <si>
    <t>г.Когалым,ул. Ленинградская, дом 13, общая площадь жилых и нежилых  помещений 1787,5 м2</t>
  </si>
  <si>
    <t>г.Когалым,ул. Ленинградская, дом 15, общая площадь жилых и нежилых  помещений 1794,31 м2</t>
  </si>
  <si>
    <t>г.Когалым,ул. Ленинградская, дом 17, общая площадь жилых и нежилых  помещений 3528,3 м2</t>
  </si>
  <si>
    <t>г.Когалым,ул. Ленинградская, дом 19, общая площадь жилых и нежилых  помещений 3547,26 м2</t>
  </si>
  <si>
    <t>г.Когалым,ул. Ленинградская, дом 21, общая площадь жилых и нежилых  помещений 5850,8 м2</t>
  </si>
  <si>
    <t xml:space="preserve">              к Договору </t>
  </si>
  <si>
    <t xml:space="preserve">                                    к Договору </t>
  </si>
  <si>
    <t xml:space="preserve">                от "01" января 2015г.</t>
  </si>
  <si>
    <t xml:space="preserve">              к Договору</t>
  </si>
  <si>
    <t xml:space="preserve">                от " 01 " января 2015г.</t>
  </si>
  <si>
    <t xml:space="preserve">                от " 01" января 2015г.</t>
  </si>
  <si>
    <t xml:space="preserve">                от " 01 "  января 2015г.</t>
  </si>
  <si>
    <t>за содержание и ремонт общего имущества многоквартирных домов</t>
  </si>
  <si>
    <t>г.Когалым,ул.Бакинская, дом 35, общая площадь жилых и нежилых  помещений 5845,12 м2</t>
  </si>
  <si>
    <t>г.Когалым, ООО "Жилье" общая площадь жилых и нежилых  помещений 77549,52 м2</t>
  </si>
  <si>
    <t>дизенф.</t>
  </si>
  <si>
    <t>протокол №3 от 01.01.2015г.</t>
  </si>
  <si>
    <t>протокол № 1 от 01.01.2015г.</t>
  </si>
  <si>
    <t>протокол № 2 от 01.01.2015г.</t>
  </si>
  <si>
    <t>протокол № 4 от 01.01.2015г.</t>
  </si>
  <si>
    <t>протокол № 5 от 01.01.2015г.</t>
  </si>
  <si>
    <t>протокол № 6 от 01.01.2015г.</t>
  </si>
  <si>
    <t>протокол № 7 от 01.01.2015г.</t>
  </si>
  <si>
    <t>протокол № 8 от 01.01.2015г.</t>
  </si>
  <si>
    <t>протокол № 9 от 01.01.2015г.</t>
  </si>
  <si>
    <t>протокол № 10 от 01.01.2015г.</t>
  </si>
  <si>
    <t>протокол № 11 от 01.01.2015г.</t>
  </si>
  <si>
    <t>протокол № 12 от 01.01.2015г.</t>
  </si>
  <si>
    <t>протокол № 13 от 01.01.2015г.</t>
  </si>
  <si>
    <t>протокол № 14 от 01.01.2015г.</t>
  </si>
  <si>
    <t>протокол № 15 от 01.01.2015г.</t>
  </si>
  <si>
    <t>протокол № 16 от 01.01.2015г.</t>
  </si>
  <si>
    <t>протокол № 17 от 01.01.2015г.</t>
  </si>
  <si>
    <t>протокол № 18 от 01.01.2015г.</t>
  </si>
  <si>
    <t>протокол № 19 от 01.01.2015г.</t>
  </si>
  <si>
    <t>протокол № 20 от 01.01.2015г.</t>
  </si>
  <si>
    <t>протокол № 21 от 01.01.2015г.</t>
  </si>
  <si>
    <t>протокол № 22 от 01.01.2015г.</t>
  </si>
  <si>
    <t>протокол № 23 от 01.01.2015г.</t>
  </si>
  <si>
    <t>протокол № 24 от 01.01.2015г.</t>
  </si>
  <si>
    <t>протокол № 25 от 01.01.2015г.</t>
  </si>
  <si>
    <t>протокол № 26 от 01.01.2015г.</t>
  </si>
</sst>
</file>

<file path=xl/styles.xml><?xml version="1.0" encoding="utf-8"?>
<styleSheet xmlns="http://schemas.openxmlformats.org/spreadsheetml/2006/main">
  <numFmts count="20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Calibri"/>
      <family val="2"/>
    </font>
    <font>
      <sz val="8"/>
      <color indexed="40"/>
      <name val="Times New Roman"/>
      <family val="1"/>
    </font>
    <font>
      <sz val="10"/>
      <color indexed="4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centerContinuous" vertical="center" wrapText="1"/>
    </xf>
    <xf numFmtId="0" fontId="29" fillId="0" borderId="0" xfId="0" applyFont="1" applyAlignment="1">
      <alignment horizontal="centerContinuous" vertical="center" wrapText="1"/>
    </xf>
    <xf numFmtId="0" fontId="29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Continuous" vertical="center" wrapText="1"/>
    </xf>
    <xf numFmtId="0" fontId="3" fillId="0" borderId="0" xfId="53" applyFont="1" applyAlignment="1">
      <alignment horizontal="center" vertical="center" wrapText="1"/>
      <protection/>
    </xf>
    <xf numFmtId="4" fontId="29" fillId="0" borderId="0" xfId="0" applyNumberFormat="1" applyFont="1" applyAlignment="1">
      <alignment vertical="center"/>
    </xf>
    <xf numFmtId="0" fontId="33" fillId="0" borderId="10" xfId="0" applyFont="1" applyBorder="1" applyAlignment="1">
      <alignment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7" fillId="0" borderId="10" xfId="53" applyFont="1" applyFill="1" applyBorder="1" applyAlignment="1">
      <alignment horizontal="left" vertical="center" wrapText="1"/>
      <protection/>
    </xf>
    <xf numFmtId="0" fontId="27" fillId="24" borderId="0" xfId="0" applyFont="1" applyFill="1" applyAlignment="1">
      <alignment horizontal="right" vertical="center"/>
    </xf>
    <xf numFmtId="0" fontId="29" fillId="24" borderId="0" xfId="0" applyFont="1" applyFill="1" applyAlignment="1">
      <alignment vertical="center"/>
    </xf>
    <xf numFmtId="0" fontId="29" fillId="24" borderId="0" xfId="0" applyFont="1" applyFill="1" applyAlignment="1">
      <alignment horizontal="centerContinuous" vertical="center"/>
    </xf>
    <xf numFmtId="0" fontId="29" fillId="24" borderId="0" xfId="0" applyFont="1" applyFill="1" applyAlignment="1">
      <alignment horizontal="centerContinuous" vertical="center" wrapText="1"/>
    </xf>
    <xf numFmtId="4" fontId="29" fillId="24" borderId="0" xfId="0" applyNumberFormat="1" applyFont="1" applyFill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6" fillId="0" borderId="12" xfId="53" applyFont="1" applyFill="1" applyBorder="1" applyAlignment="1">
      <alignment horizontal="center" vertical="center" wrapText="1"/>
      <protection/>
    </xf>
    <xf numFmtId="4" fontId="35" fillId="24" borderId="10" xfId="0" applyNumberFormat="1" applyFont="1" applyFill="1" applyBorder="1" applyAlignment="1">
      <alignment horizontal="right" vertical="center"/>
    </xf>
    <xf numFmtId="4" fontId="34" fillId="24" borderId="10" xfId="0" applyNumberFormat="1" applyFont="1" applyFill="1" applyBorder="1" applyAlignment="1">
      <alignment horizontal="right" vertical="center"/>
    </xf>
    <xf numFmtId="0" fontId="31" fillId="0" borderId="10" xfId="0" applyFont="1" applyBorder="1" applyAlignment="1">
      <alignment horizontal="center" vertical="center" wrapText="1"/>
    </xf>
    <xf numFmtId="4" fontId="34" fillId="24" borderId="13" xfId="0" applyNumberFormat="1" applyFont="1" applyFill="1" applyBorder="1" applyAlignment="1">
      <alignment horizontal="right" vertical="center"/>
    </xf>
    <xf numFmtId="0" fontId="34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5" fillId="24" borderId="0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/>
    </xf>
    <xf numFmtId="2" fontId="5" fillId="24" borderId="0" xfId="0" applyNumberFormat="1" applyFont="1" applyFill="1" applyBorder="1" applyAlignment="1">
      <alignment horizontal="center"/>
    </xf>
    <xf numFmtId="4" fontId="8" fillId="24" borderId="0" xfId="0" applyNumberFormat="1" applyFont="1" applyFill="1" applyBorder="1" applyAlignment="1">
      <alignment horizontal="center" vertical="center" wrapText="1"/>
    </xf>
    <xf numFmtId="4" fontId="8" fillId="24" borderId="0" xfId="53" applyNumberFormat="1" applyFont="1" applyFill="1" applyBorder="1" applyAlignment="1">
      <alignment horizontal="right" vertical="center" wrapText="1"/>
      <protection/>
    </xf>
    <xf numFmtId="0" fontId="3" fillId="0" borderId="0" xfId="53" applyFont="1" applyBorder="1" applyAlignment="1">
      <alignment horizontal="right" vertical="center" wrapText="1"/>
      <protection/>
    </xf>
    <xf numFmtId="4" fontId="8" fillId="24" borderId="0" xfId="0" applyNumberFormat="1" applyFont="1" applyFill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4" fontId="35" fillId="24" borderId="0" xfId="0" applyNumberFormat="1" applyFont="1" applyFill="1" applyBorder="1" applyAlignment="1">
      <alignment horizontal="right" vertical="center"/>
    </xf>
    <xf numFmtId="0" fontId="34" fillId="0" borderId="0" xfId="0" applyFont="1" applyBorder="1" applyAlignment="1">
      <alignment horizontal="right" vertical="center"/>
    </xf>
    <xf numFmtId="4" fontId="34" fillId="0" borderId="0" xfId="0" applyNumberFormat="1" applyFont="1" applyBorder="1" applyAlignment="1">
      <alignment horizontal="right" vertical="center"/>
    </xf>
    <xf numFmtId="4" fontId="8" fillId="0" borderId="14" xfId="53" applyNumberFormat="1" applyFont="1" applyFill="1" applyBorder="1" applyAlignment="1">
      <alignment horizontal="right" vertical="center" wrapText="1"/>
      <protection/>
    </xf>
    <xf numFmtId="4" fontId="35" fillId="0" borderId="13" xfId="0" applyNumberFormat="1" applyFont="1" applyBorder="1" applyAlignment="1">
      <alignment horizontal="right" vertical="center"/>
    </xf>
    <xf numFmtId="4" fontId="34" fillId="0" borderId="13" xfId="0" applyNumberFormat="1" applyFont="1" applyBorder="1" applyAlignment="1">
      <alignment horizontal="right" vertical="center"/>
    </xf>
    <xf numFmtId="4" fontId="5" fillId="24" borderId="13" xfId="0" applyNumberFormat="1" applyFont="1" applyFill="1" applyBorder="1" applyAlignment="1">
      <alignment horizontal="right" vertical="center"/>
    </xf>
    <xf numFmtId="0" fontId="29" fillId="24" borderId="15" xfId="0" applyFont="1" applyFill="1" applyBorder="1" applyAlignment="1">
      <alignment horizontal="centerContinuous" vertical="center" wrapText="1"/>
    </xf>
    <xf numFmtId="0" fontId="29" fillId="24" borderId="15" xfId="0" applyFont="1" applyFill="1" applyBorder="1" applyAlignment="1">
      <alignment vertical="center"/>
    </xf>
    <xf numFmtId="4" fontId="8" fillId="24" borderId="10" xfId="53" applyNumberFormat="1" applyFont="1" applyFill="1" applyBorder="1" applyAlignment="1">
      <alignment horizontal="right" vertical="center" wrapText="1"/>
      <protection/>
    </xf>
    <xf numFmtId="0" fontId="29" fillId="24" borderId="16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0" fontId="29" fillId="24" borderId="0" xfId="0" applyFont="1" applyFill="1" applyBorder="1" applyAlignment="1">
      <alignment horizontal="centerContinuous" vertical="center" wrapText="1"/>
    </xf>
    <xf numFmtId="0" fontId="29" fillId="0" borderId="0" xfId="0" applyFont="1" applyBorder="1" applyAlignment="1">
      <alignment horizontal="centerContinuous" vertical="center" wrapText="1"/>
    </xf>
    <xf numFmtId="4" fontId="35" fillId="0" borderId="10" xfId="0" applyNumberFormat="1" applyFont="1" applyBorder="1" applyAlignment="1">
      <alignment horizontal="right" vertical="center"/>
    </xf>
    <xf numFmtId="4" fontId="37" fillId="0" borderId="0" xfId="0" applyNumberFormat="1" applyFont="1" applyBorder="1" applyAlignment="1">
      <alignment horizontal="right" vertical="center"/>
    </xf>
    <xf numFmtId="0" fontId="38" fillId="0" borderId="10" xfId="0" applyFont="1" applyBorder="1" applyAlignment="1">
      <alignment vertical="center" wrapText="1"/>
    </xf>
    <xf numFmtId="0" fontId="31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1" fillId="24" borderId="0" xfId="0" applyFont="1" applyFill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2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31"/>
  <sheetViews>
    <sheetView zoomScalePageLayoutView="0" workbookViewId="0" topLeftCell="A18">
      <selection activeCell="D50" sqref="D50"/>
    </sheetView>
  </sheetViews>
  <sheetFormatPr defaultColWidth="9.140625" defaultRowHeight="15"/>
  <cols>
    <col min="1" max="1" width="5.8515625" style="4" customWidth="1"/>
    <col min="2" max="2" width="38.00390625" style="4" customWidth="1"/>
    <col min="3" max="3" width="17.7109375" style="4" hidden="1" customWidth="1"/>
    <col min="4" max="4" width="12.7109375" style="4" customWidth="1"/>
    <col min="5" max="5" width="11.00390625" style="19" customWidth="1"/>
    <col min="6" max="6" width="20.57421875" style="30" customWidth="1"/>
    <col min="7" max="7" width="10.57421875" style="31" customWidth="1"/>
    <col min="8" max="8" width="10.421875" style="31" customWidth="1"/>
    <col min="9" max="9" width="10.00390625" style="31" customWidth="1"/>
    <col min="10" max="10" width="9.8515625" style="31" customWidth="1"/>
    <col min="11" max="11" width="9.28125" style="31" customWidth="1"/>
    <col min="12" max="14" width="9.8515625" style="31" customWidth="1"/>
    <col min="15" max="23" width="9.8515625" style="31" hidden="1" customWidth="1"/>
    <col min="24" max="39" width="9.8515625" style="31" customWidth="1"/>
    <col min="40" max="40" width="11.421875" style="31" customWidth="1"/>
    <col min="41" max="41" width="11.00390625" style="31" customWidth="1"/>
    <col min="42" max="42" width="11.140625" style="31" customWidth="1"/>
    <col min="43" max="44" width="9.140625" style="31" customWidth="1"/>
    <col min="45" max="16384" width="9.140625" style="4" customWidth="1"/>
  </cols>
  <sheetData>
    <row r="1" spans="1:5" ht="15.75" hidden="1">
      <c r="A1" s="1" t="s">
        <v>0</v>
      </c>
      <c r="E1" s="18" t="s">
        <v>9</v>
      </c>
    </row>
    <row r="2" spans="1:5" ht="15.75" hidden="1">
      <c r="A2" s="1" t="s">
        <v>1</v>
      </c>
      <c r="E2" s="18" t="s">
        <v>11</v>
      </c>
    </row>
    <row r="3" spans="1:5" ht="15.75" hidden="1">
      <c r="A3" s="1" t="s">
        <v>2</v>
      </c>
      <c r="E3" s="18" t="s">
        <v>10</v>
      </c>
    </row>
    <row r="4" ht="15.75" hidden="1">
      <c r="A4" s="1" t="s">
        <v>3</v>
      </c>
    </row>
    <row r="5" ht="15" hidden="1"/>
    <row r="6" spans="1:5" ht="112.5" hidden="1">
      <c r="A6" s="2" t="s">
        <v>12</v>
      </c>
      <c r="B6" s="3"/>
      <c r="C6" s="3"/>
      <c r="D6" s="3"/>
      <c r="E6" s="20"/>
    </row>
    <row r="7" spans="1:5" ht="15" hidden="1">
      <c r="A7" s="3" t="s">
        <v>53</v>
      </c>
      <c r="B7" s="3"/>
      <c r="C7" s="3"/>
      <c r="D7" s="3"/>
      <c r="E7" s="21"/>
    </row>
    <row r="8" spans="1:5" ht="15">
      <c r="A8" s="3"/>
      <c r="B8" s="3"/>
      <c r="C8" s="3"/>
      <c r="D8" s="3"/>
      <c r="E8" s="21"/>
    </row>
    <row r="9" spans="1:6" ht="15">
      <c r="A9" s="60" t="s">
        <v>0</v>
      </c>
      <c r="B9" s="61"/>
      <c r="C9" s="52"/>
      <c r="D9" s="53"/>
      <c r="E9" s="62" t="s">
        <v>9</v>
      </c>
      <c r="F9" s="63"/>
    </row>
    <row r="10" spans="1:6" ht="15">
      <c r="A10" s="61" t="s">
        <v>83</v>
      </c>
      <c r="B10" s="61"/>
      <c r="C10" s="52"/>
      <c r="D10" s="64" t="s">
        <v>114</v>
      </c>
      <c r="E10" s="63"/>
      <c r="F10" s="63"/>
    </row>
    <row r="11" spans="1:6" ht="15">
      <c r="A11" s="61" t="s">
        <v>84</v>
      </c>
      <c r="B11" s="61"/>
      <c r="C11" s="52"/>
      <c r="D11" s="64" t="s">
        <v>118</v>
      </c>
      <c r="E11" s="63"/>
      <c r="F11" s="63"/>
    </row>
    <row r="12" spans="1:5" ht="15">
      <c r="A12" s="61" t="s">
        <v>2</v>
      </c>
      <c r="B12" s="61"/>
      <c r="C12" s="52"/>
      <c r="D12" s="52"/>
      <c r="E12" s="21"/>
    </row>
    <row r="13" spans="1:5" ht="15">
      <c r="A13" s="61" t="s">
        <v>85</v>
      </c>
      <c r="B13" s="61"/>
      <c r="C13" s="52"/>
      <c r="D13" s="52"/>
      <c r="E13" s="21"/>
    </row>
    <row r="14" spans="1:5" ht="15">
      <c r="A14" s="54"/>
      <c r="B14" s="54"/>
      <c r="C14" s="52"/>
      <c r="D14" s="52"/>
      <c r="E14" s="21"/>
    </row>
    <row r="15" spans="1:6" ht="15.75">
      <c r="A15" s="67" t="s">
        <v>86</v>
      </c>
      <c r="B15" s="67"/>
      <c r="C15" s="67"/>
      <c r="D15" s="67"/>
      <c r="E15" s="67"/>
      <c r="F15" s="67"/>
    </row>
    <row r="16" spans="1:6" ht="15.75">
      <c r="A16" s="67" t="s">
        <v>87</v>
      </c>
      <c r="B16" s="67"/>
      <c r="C16" s="67"/>
      <c r="D16" s="67"/>
      <c r="E16" s="67"/>
      <c r="F16" s="67"/>
    </row>
    <row r="17" spans="1:6" ht="15.75">
      <c r="A17" s="67" t="s">
        <v>121</v>
      </c>
      <c r="B17" s="67"/>
      <c r="C17" s="67"/>
      <c r="D17" s="67"/>
      <c r="E17" s="67"/>
      <c r="F17" s="67"/>
    </row>
    <row r="18" spans="1:6" ht="15">
      <c r="A18" s="65" t="s">
        <v>123</v>
      </c>
      <c r="B18" s="66"/>
      <c r="C18" s="66"/>
      <c r="D18" s="66"/>
      <c r="E18" s="66"/>
      <c r="F18" s="66"/>
    </row>
    <row r="19" spans="1:5" ht="15">
      <c r="A19" s="3"/>
      <c r="B19" s="3"/>
      <c r="C19" s="3"/>
      <c r="D19" s="3"/>
      <c r="E19" s="55"/>
    </row>
    <row r="20" spans="1:5" ht="42.75">
      <c r="A20" s="10" t="s">
        <v>47</v>
      </c>
      <c r="B20" s="3"/>
      <c r="C20" s="3"/>
      <c r="D20" s="3"/>
      <c r="E20" s="48"/>
    </row>
    <row r="21" spans="1:10" ht="15.75" customHeight="1">
      <c r="A21" s="3"/>
      <c r="B21" s="3"/>
      <c r="C21" s="3"/>
      <c r="D21" s="56"/>
      <c r="E21" s="55"/>
      <c r="J21" s="49">
        <v>77549.72</v>
      </c>
    </row>
    <row r="22" spans="1:42" ht="42" customHeight="1">
      <c r="A22" s="68" t="s">
        <v>8</v>
      </c>
      <c r="B22" s="68" t="s">
        <v>4</v>
      </c>
      <c r="C22" s="28" t="s">
        <v>5</v>
      </c>
      <c r="D22" s="70" t="s">
        <v>6</v>
      </c>
      <c r="E22" s="72" t="s">
        <v>7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3"/>
    </row>
    <row r="23" spans="1:42" ht="14.25" customHeight="1">
      <c r="A23" s="69"/>
      <c r="B23" s="69"/>
      <c r="C23" s="28"/>
      <c r="D23" s="71"/>
      <c r="E23" s="73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5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6"/>
    </row>
    <row r="24" spans="1:44" s="11" customFormat="1" ht="16.5" customHeight="1">
      <c r="A24" s="23">
        <v>1</v>
      </c>
      <c r="B24" s="24" t="s">
        <v>13</v>
      </c>
      <c r="C24" s="25"/>
      <c r="D24" s="44">
        <f>D25+D26+D55+D56</f>
        <v>31837515.219999995</v>
      </c>
      <c r="E24" s="50">
        <f>E25+E26</f>
        <v>34.211938719228556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6"/>
      <c r="AQ24" s="38"/>
      <c r="AR24" s="38"/>
    </row>
    <row r="25" spans="1:44" ht="54" customHeight="1">
      <c r="A25" s="8">
        <v>2</v>
      </c>
      <c r="B25" s="5" t="s">
        <v>45</v>
      </c>
      <c r="C25" s="13" t="s">
        <v>54</v>
      </c>
      <c r="D25" s="45">
        <v>952892.7</v>
      </c>
      <c r="E25" s="26">
        <f>D25/J21/12</f>
        <v>1.0239588872790255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6"/>
      <c r="AQ25" s="40"/>
      <c r="AR25" s="40"/>
    </row>
    <row r="26" spans="1:44" ht="24.75" customHeight="1">
      <c r="A26" s="8">
        <v>3</v>
      </c>
      <c r="B26" s="5" t="s">
        <v>29</v>
      </c>
      <c r="C26" s="13"/>
      <c r="D26" s="45">
        <f>D27+D28+D29+D30+D31+D32+D33+D34+D35+D36+D37+D38+D39+D40+D41+D42+D43+D44+D45+D46+D47+D48+D49+D50+D51+D52+D53+D54+D55+D56+D57</f>
        <v>30884622.519999996</v>
      </c>
      <c r="E26" s="57">
        <f>E27+E28+E29+E30+E31+E32+E33+E34+E35+E36+E37+E38+E39+E40+E41+E42+E43+E44+E45+E46+E47+E48+E49+E50+E51+E52+E53+E54+E55+E56+E57</f>
        <v>33.187979831949534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0"/>
      <c r="AR26" s="40"/>
    </row>
    <row r="27" spans="1:44" ht="27.75" customHeight="1">
      <c r="A27" s="9">
        <v>3.1</v>
      </c>
      <c r="B27" s="5" t="s">
        <v>14</v>
      </c>
      <c r="C27" s="13"/>
      <c r="D27" s="46"/>
      <c r="E27" s="27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36"/>
      <c r="AQ27" s="40"/>
      <c r="AR27" s="40"/>
    </row>
    <row r="28" spans="1:44" ht="22.5" customHeight="1">
      <c r="A28" s="6">
        <v>3.2</v>
      </c>
      <c r="B28" s="5" t="s">
        <v>15</v>
      </c>
      <c r="C28" s="13" t="s">
        <v>57</v>
      </c>
      <c r="D28" s="46">
        <v>68000</v>
      </c>
      <c r="E28" s="27">
        <f>D28/J21/12</f>
        <v>0.07307140073061084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36"/>
      <c r="AQ28" s="40"/>
      <c r="AR28" s="40"/>
    </row>
    <row r="29" spans="1:44" ht="26.25" customHeight="1">
      <c r="A29" s="9">
        <v>3.3</v>
      </c>
      <c r="B29" s="5" t="s">
        <v>16</v>
      </c>
      <c r="C29" s="13" t="s">
        <v>59</v>
      </c>
      <c r="D29" s="46"/>
      <c r="E29" s="27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36"/>
      <c r="AQ29" s="40"/>
      <c r="AR29" s="40"/>
    </row>
    <row r="30" spans="1:44" ht="27" customHeight="1">
      <c r="A30" s="6" t="s">
        <v>68</v>
      </c>
      <c r="B30" s="5" t="s">
        <v>17</v>
      </c>
      <c r="C30" s="13" t="s">
        <v>56</v>
      </c>
      <c r="D30" s="46"/>
      <c r="E30" s="27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6"/>
      <c r="AQ30" s="40"/>
      <c r="AR30" s="40"/>
    </row>
    <row r="31" spans="1:44" ht="29.25" customHeight="1">
      <c r="A31" s="6" t="s">
        <v>69</v>
      </c>
      <c r="B31" s="5" t="s">
        <v>70</v>
      </c>
      <c r="C31" s="13"/>
      <c r="D31" s="46"/>
      <c r="E31" s="27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6"/>
      <c r="AQ31" s="40"/>
      <c r="AR31" s="40"/>
    </row>
    <row r="32" spans="1:44" ht="39" customHeight="1">
      <c r="A32" s="6" t="s">
        <v>71</v>
      </c>
      <c r="B32" s="5" t="s">
        <v>72</v>
      </c>
      <c r="C32" s="13"/>
      <c r="D32" s="46"/>
      <c r="E32" s="27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36"/>
      <c r="AQ32" s="40"/>
      <c r="AR32" s="40"/>
    </row>
    <row r="33" spans="1:44" ht="28.5" customHeight="1">
      <c r="A33" s="9">
        <v>3.7</v>
      </c>
      <c r="B33" s="5" t="s">
        <v>18</v>
      </c>
      <c r="C33" s="13" t="s">
        <v>57</v>
      </c>
      <c r="D33" s="46">
        <v>76000</v>
      </c>
      <c r="E33" s="27">
        <f>D33/J21/12</f>
        <v>0.08166803611068271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36"/>
      <c r="AQ33" s="40"/>
      <c r="AR33" s="40"/>
    </row>
    <row r="34" spans="1:44" ht="25.5">
      <c r="A34" s="6">
        <v>3.8</v>
      </c>
      <c r="B34" s="5" t="s">
        <v>64</v>
      </c>
      <c r="C34" s="13" t="s">
        <v>57</v>
      </c>
      <c r="D34" s="46">
        <v>1796108.4</v>
      </c>
      <c r="E34" s="27">
        <f>D34/J21/12</f>
        <v>1.9300611272355335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36"/>
      <c r="AQ34" s="40"/>
      <c r="AR34" s="40"/>
    </row>
    <row r="35" spans="1:44" ht="25.5">
      <c r="A35" s="9">
        <v>3.9</v>
      </c>
      <c r="B35" s="5" t="s">
        <v>19</v>
      </c>
      <c r="C35" s="13" t="s">
        <v>57</v>
      </c>
      <c r="D35" s="46"/>
      <c r="E35" s="27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36"/>
      <c r="AQ35" s="40"/>
      <c r="AR35" s="40"/>
    </row>
    <row r="36" spans="1:44" ht="25.5">
      <c r="A36" s="6" t="s">
        <v>30</v>
      </c>
      <c r="B36" s="5" t="s">
        <v>65</v>
      </c>
      <c r="C36" s="13" t="s">
        <v>57</v>
      </c>
      <c r="D36" s="46"/>
      <c r="E36" s="27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36"/>
      <c r="AQ36" s="40"/>
      <c r="AR36" s="40"/>
    </row>
    <row r="37" spans="1:44" ht="25.5">
      <c r="A37" s="6" t="s">
        <v>31</v>
      </c>
      <c r="B37" s="5" t="s">
        <v>66</v>
      </c>
      <c r="C37" s="13"/>
      <c r="D37" s="46"/>
      <c r="E37" s="27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36"/>
      <c r="AQ37" s="40"/>
      <c r="AR37" s="40"/>
    </row>
    <row r="38" spans="1:44" ht="40.5" customHeight="1">
      <c r="A38" s="6" t="s">
        <v>32</v>
      </c>
      <c r="B38" s="5" t="s">
        <v>20</v>
      </c>
      <c r="C38" s="13"/>
      <c r="D38" s="46"/>
      <c r="E38" s="27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36"/>
      <c r="AQ38" s="40"/>
      <c r="AR38" s="40"/>
    </row>
    <row r="39" spans="1:44" ht="51">
      <c r="A39" s="6" t="s">
        <v>33</v>
      </c>
      <c r="B39" s="5" t="s">
        <v>21</v>
      </c>
      <c r="C39" s="13" t="s">
        <v>58</v>
      </c>
      <c r="D39" s="46">
        <v>458316.32</v>
      </c>
      <c r="E39" s="27">
        <f>D39/J21/12</f>
        <v>0.4924972864720423</v>
      </c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36"/>
      <c r="AQ39" s="40"/>
      <c r="AR39" s="40"/>
    </row>
    <row r="40" spans="1:44" ht="33" customHeight="1">
      <c r="A40" s="6" t="s">
        <v>34</v>
      </c>
      <c r="B40" s="5" t="s">
        <v>73</v>
      </c>
      <c r="C40" s="13"/>
      <c r="D40" s="46"/>
      <c r="E40" s="27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36"/>
      <c r="AQ40" s="40"/>
      <c r="AR40" s="40"/>
    </row>
    <row r="41" spans="1:44" ht="41.25" customHeight="1">
      <c r="A41" s="6" t="s">
        <v>35</v>
      </c>
      <c r="B41" s="5" t="s">
        <v>22</v>
      </c>
      <c r="C41" s="13"/>
      <c r="D41" s="46"/>
      <c r="E41" s="27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36"/>
      <c r="AQ41" s="40"/>
      <c r="AR41" s="40"/>
    </row>
    <row r="42" spans="1:44" ht="41.25" customHeight="1">
      <c r="A42" s="6" t="s">
        <v>36</v>
      </c>
      <c r="B42" s="5" t="s">
        <v>74</v>
      </c>
      <c r="C42" s="13"/>
      <c r="D42" s="46"/>
      <c r="E42" s="27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36"/>
      <c r="AQ42" s="40"/>
      <c r="AR42" s="40"/>
    </row>
    <row r="43" spans="1:44" ht="40.5" customHeight="1">
      <c r="A43" s="6" t="s">
        <v>37</v>
      </c>
      <c r="B43" s="5" t="s">
        <v>75</v>
      </c>
      <c r="C43" s="13" t="s">
        <v>54</v>
      </c>
      <c r="D43" s="47">
        <v>2608000</v>
      </c>
      <c r="E43" s="27">
        <f>D43/J21/12</f>
        <v>2.802503133903428</v>
      </c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36"/>
      <c r="AQ43" s="40"/>
      <c r="AR43" s="40"/>
    </row>
    <row r="44" spans="1:44" ht="52.5" customHeight="1">
      <c r="A44" s="6" t="s">
        <v>38</v>
      </c>
      <c r="B44" s="5" t="s">
        <v>67</v>
      </c>
      <c r="C44" s="13"/>
      <c r="D44" s="46"/>
      <c r="E44" s="27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36"/>
      <c r="AQ44" s="40"/>
      <c r="AR44" s="40"/>
    </row>
    <row r="45" spans="1:44" ht="40.5" customHeight="1">
      <c r="A45" s="6" t="s">
        <v>39</v>
      </c>
      <c r="B45" s="5" t="s">
        <v>76</v>
      </c>
      <c r="C45" s="13"/>
      <c r="D45" s="46"/>
      <c r="E45" s="27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36"/>
      <c r="AQ45" s="40"/>
      <c r="AR45" s="40"/>
    </row>
    <row r="46" spans="1:44" ht="39" customHeight="1">
      <c r="A46" s="6" t="s">
        <v>40</v>
      </c>
      <c r="B46" s="5" t="s">
        <v>77</v>
      </c>
      <c r="C46" s="13" t="s">
        <v>54</v>
      </c>
      <c r="D46" s="29">
        <v>1479684</v>
      </c>
      <c r="E46" s="27">
        <f>D46/J21/12</f>
        <v>1.590037978215782</v>
      </c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36"/>
      <c r="AQ46" s="40"/>
      <c r="AR46" s="40"/>
    </row>
    <row r="47" spans="1:44" ht="39" customHeight="1">
      <c r="A47" s="6" t="s">
        <v>41</v>
      </c>
      <c r="B47" s="5" t="s">
        <v>78</v>
      </c>
      <c r="C47" s="13"/>
      <c r="D47" s="29"/>
      <c r="E47" s="27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36"/>
      <c r="AQ47" s="40"/>
      <c r="AR47" s="40"/>
    </row>
    <row r="48" spans="1:44" ht="25.5">
      <c r="A48" s="6" t="s">
        <v>42</v>
      </c>
      <c r="B48" s="5" t="s">
        <v>62</v>
      </c>
      <c r="C48" s="13" t="s">
        <v>54</v>
      </c>
      <c r="D48" s="46"/>
      <c r="E48" s="27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36"/>
      <c r="AQ48" s="40"/>
      <c r="AR48" s="40"/>
    </row>
    <row r="49" spans="1:44" ht="25.5">
      <c r="A49" s="6" t="s">
        <v>43</v>
      </c>
      <c r="B49" s="59" t="s">
        <v>63</v>
      </c>
      <c r="C49" s="13" t="s">
        <v>54</v>
      </c>
      <c r="D49" s="46">
        <v>14522301</v>
      </c>
      <c r="E49" s="27">
        <f>D49/J21/12</f>
        <v>15.605365822081628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36"/>
      <c r="AQ49" s="40"/>
      <c r="AR49" s="40"/>
    </row>
    <row r="50" spans="1:44" ht="25.5">
      <c r="A50" s="6" t="s">
        <v>46</v>
      </c>
      <c r="B50" s="5" t="s">
        <v>23</v>
      </c>
      <c r="C50" s="13" t="s">
        <v>60</v>
      </c>
      <c r="D50" s="46">
        <v>3535322.4</v>
      </c>
      <c r="E50" s="27">
        <f>D50/J21/12</f>
        <v>3.7989847029750714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36"/>
      <c r="AQ50" s="40"/>
      <c r="AR50" s="40"/>
    </row>
    <row r="51" spans="1:44" ht="25.5">
      <c r="A51" s="6" t="s">
        <v>79</v>
      </c>
      <c r="B51" s="5" t="s">
        <v>24</v>
      </c>
      <c r="C51" s="13" t="s">
        <v>61</v>
      </c>
      <c r="D51" s="46">
        <v>2610383.4</v>
      </c>
      <c r="E51" s="27">
        <f>D51/J21/12</f>
        <v>2.805064286499036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36"/>
      <c r="AQ51" s="40"/>
      <c r="AR51" s="40"/>
    </row>
    <row r="52" spans="1:44" ht="38.25">
      <c r="A52" s="6" t="s">
        <v>80</v>
      </c>
      <c r="B52" s="5" t="s">
        <v>25</v>
      </c>
      <c r="C52" s="17" t="s">
        <v>55</v>
      </c>
      <c r="D52" s="29">
        <v>2308000</v>
      </c>
      <c r="E52" s="27">
        <f>D52/J21/12</f>
        <v>2.4801293071507327</v>
      </c>
      <c r="F52" s="58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36"/>
      <c r="AQ52" s="40"/>
      <c r="AR52" s="40"/>
    </row>
    <row r="53" spans="1:44" ht="25.5">
      <c r="A53" s="6" t="s">
        <v>81</v>
      </c>
      <c r="B53" s="5" t="s">
        <v>26</v>
      </c>
      <c r="C53" s="13" t="s">
        <v>54</v>
      </c>
      <c r="D53" s="29">
        <v>8000</v>
      </c>
      <c r="E53" s="27">
        <f>D53/J21/12</f>
        <v>0.008596635380071865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36"/>
      <c r="AQ53" s="40"/>
      <c r="AR53" s="40"/>
    </row>
    <row r="54" spans="1:44" ht="38.25">
      <c r="A54" s="6" t="s">
        <v>82</v>
      </c>
      <c r="B54" s="5" t="s">
        <v>27</v>
      </c>
      <c r="C54" s="14" t="s">
        <v>54</v>
      </c>
      <c r="D54" s="29">
        <v>1414507</v>
      </c>
      <c r="E54" s="27">
        <f>D54/J21/12</f>
        <v>1.5200001151949143</v>
      </c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36"/>
      <c r="AQ54" s="40"/>
      <c r="AR54" s="40"/>
    </row>
    <row r="55" spans="1:44" ht="33" customHeight="1">
      <c r="A55" s="6" t="s">
        <v>44</v>
      </c>
      <c r="B55" s="5" t="s">
        <v>28</v>
      </c>
      <c r="C55" s="15" t="s">
        <v>54</v>
      </c>
      <c r="D55" s="46"/>
      <c r="E55" s="27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36"/>
      <c r="AQ55" s="40"/>
      <c r="AR55" s="40"/>
    </row>
    <row r="56" spans="1:44" ht="38.25">
      <c r="A56" s="6" t="s">
        <v>48</v>
      </c>
      <c r="B56" s="5" t="s">
        <v>49</v>
      </c>
      <c r="C56" s="13" t="s">
        <v>52</v>
      </c>
      <c r="D56" s="46"/>
      <c r="E56" s="27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36"/>
      <c r="AQ56" s="40"/>
      <c r="AR56" s="40"/>
    </row>
    <row r="57" spans="1:44" ht="38.25">
      <c r="A57" s="6" t="s">
        <v>50</v>
      </c>
      <c r="B57" s="5" t="s">
        <v>51</v>
      </c>
      <c r="C57" s="13" t="s">
        <v>52</v>
      </c>
      <c r="D57" s="46"/>
      <c r="E57" s="27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36"/>
      <c r="AQ57" s="40"/>
      <c r="AR57" s="40"/>
    </row>
    <row r="58" spans="4:5" ht="15">
      <c r="D58" s="12"/>
      <c r="E58" s="22"/>
    </row>
    <row r="59" spans="4:5" ht="15">
      <c r="D59" s="12"/>
      <c r="E59" s="22"/>
    </row>
    <row r="60" spans="4:5" ht="15">
      <c r="D60" s="12"/>
      <c r="E60" s="22"/>
    </row>
    <row r="61" spans="4:5" ht="15">
      <c r="D61" s="12"/>
      <c r="E61" s="22"/>
    </row>
    <row r="62" spans="4:5" ht="15">
      <c r="D62" s="12"/>
      <c r="E62" s="22"/>
    </row>
    <row r="63" spans="4:5" ht="15">
      <c r="D63" s="12"/>
      <c r="E63" s="22"/>
    </row>
    <row r="64" spans="4:5" ht="15">
      <c r="D64" s="12"/>
      <c r="E64" s="22"/>
    </row>
    <row r="65" spans="4:5" ht="15">
      <c r="D65" s="12"/>
      <c r="E65" s="22"/>
    </row>
    <row r="66" spans="4:5" ht="15">
      <c r="D66" s="12"/>
      <c r="E66" s="22"/>
    </row>
    <row r="67" spans="4:5" ht="15">
      <c r="D67" s="12"/>
      <c r="E67" s="22"/>
    </row>
    <row r="68" spans="4:5" ht="15">
      <c r="D68" s="12"/>
      <c r="E68" s="22"/>
    </row>
    <row r="69" spans="4:5" ht="15">
      <c r="D69" s="12"/>
      <c r="E69" s="22"/>
    </row>
    <row r="70" spans="4:5" ht="15">
      <c r="D70" s="12"/>
      <c r="E70" s="22"/>
    </row>
    <row r="71" spans="4:5" ht="15">
      <c r="D71" s="12"/>
      <c r="E71" s="22"/>
    </row>
    <row r="72" spans="4:5" ht="15">
      <c r="D72" s="12"/>
      <c r="E72" s="22"/>
    </row>
    <row r="73" spans="4:5" ht="15">
      <c r="D73" s="12"/>
      <c r="E73" s="22"/>
    </row>
    <row r="74" spans="4:5" ht="15">
      <c r="D74" s="12"/>
      <c r="E74" s="22"/>
    </row>
    <row r="75" spans="4:5" ht="15">
      <c r="D75" s="12"/>
      <c r="E75" s="22"/>
    </row>
    <row r="76" spans="4:5" ht="15">
      <c r="D76" s="12"/>
      <c r="E76" s="22"/>
    </row>
    <row r="77" spans="4:5" ht="15">
      <c r="D77" s="12"/>
      <c r="E77" s="22"/>
    </row>
    <row r="78" spans="4:5" ht="15">
      <c r="D78" s="12"/>
      <c r="E78" s="22"/>
    </row>
    <row r="79" spans="4:5" ht="15">
      <c r="D79" s="12"/>
      <c r="E79" s="22"/>
    </row>
    <row r="80" spans="4:5" ht="15">
      <c r="D80" s="12"/>
      <c r="E80" s="22"/>
    </row>
    <row r="81" spans="4:5" ht="15">
      <c r="D81" s="12"/>
      <c r="E81" s="22"/>
    </row>
    <row r="82" spans="4:5" ht="15">
      <c r="D82" s="12"/>
      <c r="E82" s="22"/>
    </row>
    <row r="83" spans="4:5" ht="15">
      <c r="D83" s="12"/>
      <c r="E83" s="22"/>
    </row>
    <row r="84" spans="4:5" ht="15">
      <c r="D84" s="12"/>
      <c r="E84" s="22"/>
    </row>
    <row r="85" spans="4:5" ht="15">
      <c r="D85" s="12"/>
      <c r="E85" s="22"/>
    </row>
    <row r="86" spans="4:5" ht="15">
      <c r="D86" s="12"/>
      <c r="E86" s="22"/>
    </row>
    <row r="87" spans="4:5" ht="15">
      <c r="D87" s="12"/>
      <c r="E87" s="22"/>
    </row>
    <row r="88" spans="4:5" ht="15">
      <c r="D88" s="12"/>
      <c r="E88" s="22"/>
    </row>
    <row r="89" spans="4:5" ht="15">
      <c r="D89" s="12"/>
      <c r="E89" s="22"/>
    </row>
    <row r="90" spans="4:5" ht="15">
      <c r="D90" s="12"/>
      <c r="E90" s="22"/>
    </row>
    <row r="91" spans="4:5" ht="15">
      <c r="D91" s="12"/>
      <c r="E91" s="22"/>
    </row>
    <row r="92" spans="4:5" ht="15">
      <c r="D92" s="12"/>
      <c r="E92" s="22"/>
    </row>
    <row r="93" spans="4:5" ht="15">
      <c r="D93" s="12"/>
      <c r="E93" s="22"/>
    </row>
    <row r="94" spans="4:5" ht="15">
      <c r="D94" s="12"/>
      <c r="E94" s="22"/>
    </row>
    <row r="95" spans="4:5" ht="15">
      <c r="D95" s="12"/>
      <c r="E95" s="22"/>
    </row>
    <row r="96" spans="4:5" ht="15">
      <c r="D96" s="12"/>
      <c r="E96" s="22"/>
    </row>
    <row r="97" spans="4:5" ht="15">
      <c r="D97" s="12"/>
      <c r="E97" s="22"/>
    </row>
    <row r="98" spans="4:5" ht="15">
      <c r="D98" s="12"/>
      <c r="E98" s="22"/>
    </row>
    <row r="99" spans="4:5" ht="15">
      <c r="D99" s="12"/>
      <c r="E99" s="22"/>
    </row>
    <row r="100" spans="4:5" ht="15">
      <c r="D100" s="12"/>
      <c r="E100" s="22"/>
    </row>
    <row r="101" spans="4:5" ht="15">
      <c r="D101" s="12"/>
      <c r="E101" s="22"/>
    </row>
    <row r="102" spans="4:5" ht="15">
      <c r="D102" s="12"/>
      <c r="E102" s="22"/>
    </row>
    <row r="103" spans="4:5" ht="15">
      <c r="D103" s="12"/>
      <c r="E103" s="22"/>
    </row>
    <row r="104" spans="4:5" ht="15">
      <c r="D104" s="12"/>
      <c r="E104" s="22"/>
    </row>
    <row r="105" spans="4:5" ht="15">
      <c r="D105" s="12"/>
      <c r="E105" s="22"/>
    </row>
    <row r="106" spans="4:5" ht="15">
      <c r="D106" s="12"/>
      <c r="E106" s="22"/>
    </row>
    <row r="107" spans="4:5" ht="15">
      <c r="D107" s="12"/>
      <c r="E107" s="22"/>
    </row>
    <row r="108" spans="4:5" ht="15">
      <c r="D108" s="12"/>
      <c r="E108" s="22"/>
    </row>
    <row r="109" spans="4:5" ht="15">
      <c r="D109" s="12"/>
      <c r="E109" s="22"/>
    </row>
    <row r="110" spans="4:5" ht="15">
      <c r="D110" s="12"/>
      <c r="E110" s="22"/>
    </row>
    <row r="111" spans="4:5" ht="15">
      <c r="D111" s="12"/>
      <c r="E111" s="22"/>
    </row>
    <row r="112" spans="4:5" ht="15">
      <c r="D112" s="12"/>
      <c r="E112" s="22"/>
    </row>
    <row r="113" spans="4:5" ht="15">
      <c r="D113" s="12"/>
      <c r="E113" s="22"/>
    </row>
    <row r="114" spans="4:5" ht="15">
      <c r="D114" s="12"/>
      <c r="E114" s="22"/>
    </row>
    <row r="115" spans="4:5" ht="15">
      <c r="D115" s="12"/>
      <c r="E115" s="22"/>
    </row>
    <row r="116" spans="4:5" ht="15">
      <c r="D116" s="12"/>
      <c r="E116" s="22"/>
    </row>
    <row r="117" spans="4:5" ht="15">
      <c r="D117" s="12"/>
      <c r="E117" s="22"/>
    </row>
    <row r="118" spans="4:5" ht="15">
      <c r="D118" s="12"/>
      <c r="E118" s="22"/>
    </row>
    <row r="119" spans="4:5" ht="15">
      <c r="D119" s="12"/>
      <c r="E119" s="22"/>
    </row>
    <row r="120" spans="4:5" ht="15">
      <c r="D120" s="12"/>
      <c r="E120" s="22"/>
    </row>
    <row r="121" spans="4:5" ht="15">
      <c r="D121" s="12"/>
      <c r="E121" s="22"/>
    </row>
    <row r="122" spans="4:5" ht="15">
      <c r="D122" s="12"/>
      <c r="E122" s="22"/>
    </row>
    <row r="123" spans="4:5" ht="15">
      <c r="D123" s="12"/>
      <c r="E123" s="22"/>
    </row>
    <row r="124" spans="4:5" ht="15">
      <c r="D124" s="12"/>
      <c r="E124" s="22"/>
    </row>
    <row r="125" spans="4:5" ht="15">
      <c r="D125" s="12"/>
      <c r="E125" s="22"/>
    </row>
    <row r="126" spans="4:5" ht="15">
      <c r="D126" s="12"/>
      <c r="E126" s="22"/>
    </row>
    <row r="127" spans="4:5" ht="15">
      <c r="D127" s="12"/>
      <c r="E127" s="22"/>
    </row>
    <row r="128" spans="4:5" ht="15">
      <c r="D128" s="12"/>
      <c r="E128" s="22"/>
    </row>
    <row r="129" spans="4:5" ht="15">
      <c r="D129" s="12"/>
      <c r="E129" s="22"/>
    </row>
    <row r="130" spans="4:5" ht="15">
      <c r="D130" s="12"/>
      <c r="E130" s="22"/>
    </row>
    <row r="131" spans="4:5" ht="15">
      <c r="D131" s="12"/>
      <c r="E131" s="22"/>
    </row>
  </sheetData>
  <sheetProtection/>
  <mergeCells count="16">
    <mergeCell ref="A22:A23"/>
    <mergeCell ref="B22:B23"/>
    <mergeCell ref="D22:D23"/>
    <mergeCell ref="E22:E23"/>
    <mergeCell ref="A18:F18"/>
    <mergeCell ref="A11:B11"/>
    <mergeCell ref="A12:B12"/>
    <mergeCell ref="A15:F15"/>
    <mergeCell ref="A16:F16"/>
    <mergeCell ref="A17:F17"/>
    <mergeCell ref="D11:F11"/>
    <mergeCell ref="A13:B13"/>
    <mergeCell ref="A9:B9"/>
    <mergeCell ref="E9:F9"/>
    <mergeCell ref="A10:B10"/>
    <mergeCell ref="D10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130"/>
  <sheetViews>
    <sheetView zoomScalePageLayoutView="0" workbookViewId="0" topLeftCell="A8">
      <selection activeCell="A12" sqref="A12:B12"/>
    </sheetView>
  </sheetViews>
  <sheetFormatPr defaultColWidth="9.140625" defaultRowHeight="15"/>
  <cols>
    <col min="1" max="1" width="5.8515625" style="4" customWidth="1"/>
    <col min="2" max="2" width="38.00390625" style="4" customWidth="1"/>
    <col min="3" max="3" width="17.7109375" style="4" hidden="1" customWidth="1"/>
    <col min="4" max="4" width="14.28125" style="4" customWidth="1"/>
    <col min="5" max="5" width="26.421875" style="19" customWidth="1"/>
    <col min="6" max="6" width="10.140625" style="30" customWidth="1"/>
    <col min="7" max="7" width="10.57421875" style="31" customWidth="1"/>
    <col min="8" max="8" width="10.421875" style="31" customWidth="1"/>
    <col min="9" max="9" width="10.00390625" style="31" customWidth="1"/>
    <col min="10" max="10" width="9.8515625" style="31" customWidth="1"/>
    <col min="11" max="11" width="9.28125" style="31" customWidth="1"/>
    <col min="12" max="14" width="9.8515625" style="31" customWidth="1"/>
    <col min="15" max="23" width="9.8515625" style="31" hidden="1" customWidth="1"/>
    <col min="24" max="39" width="9.8515625" style="31" customWidth="1"/>
    <col min="40" max="40" width="11.421875" style="31" customWidth="1"/>
    <col min="41" max="41" width="11.00390625" style="31" customWidth="1"/>
    <col min="42" max="42" width="11.140625" style="31" customWidth="1"/>
    <col min="43" max="44" width="9.140625" style="31" customWidth="1"/>
    <col min="45" max="16384" width="9.140625" style="4" customWidth="1"/>
  </cols>
  <sheetData>
    <row r="1" spans="1:5" ht="15.75" hidden="1">
      <c r="A1" s="1" t="s">
        <v>0</v>
      </c>
      <c r="E1" s="18" t="s">
        <v>9</v>
      </c>
    </row>
    <row r="2" spans="1:5" ht="15.75" hidden="1">
      <c r="A2" s="1" t="s">
        <v>1</v>
      </c>
      <c r="E2" s="18" t="s">
        <v>11</v>
      </c>
    </row>
    <row r="3" spans="1:5" ht="15.75" hidden="1">
      <c r="A3" s="1" t="s">
        <v>2</v>
      </c>
      <c r="E3" s="18" t="s">
        <v>10</v>
      </c>
    </row>
    <row r="4" ht="15.75" hidden="1">
      <c r="A4" s="1" t="s">
        <v>3</v>
      </c>
    </row>
    <row r="5" ht="15" hidden="1"/>
    <row r="6" spans="1:5" ht="93.75" hidden="1">
      <c r="A6" s="2" t="s">
        <v>12</v>
      </c>
      <c r="B6" s="3"/>
      <c r="C6" s="3"/>
      <c r="D6" s="3"/>
      <c r="E6" s="20"/>
    </row>
    <row r="7" spans="1:5" ht="15" hidden="1">
      <c r="A7" s="3" t="s">
        <v>53</v>
      </c>
      <c r="B7" s="3"/>
      <c r="C7" s="3"/>
      <c r="D7" s="3"/>
      <c r="E7" s="21"/>
    </row>
    <row r="8" spans="1:6" ht="15.75" customHeight="1">
      <c r="A8" s="60" t="s">
        <v>0</v>
      </c>
      <c r="B8" s="61"/>
      <c r="C8" s="52"/>
      <c r="D8" s="53"/>
      <c r="E8" s="62" t="s">
        <v>9</v>
      </c>
      <c r="F8" s="63"/>
    </row>
    <row r="9" spans="1:6" ht="15">
      <c r="A9" s="61" t="s">
        <v>83</v>
      </c>
      <c r="B9" s="61"/>
      <c r="C9" s="52"/>
      <c r="D9" s="64" t="s">
        <v>114</v>
      </c>
      <c r="E9" s="63"/>
      <c r="F9" s="63"/>
    </row>
    <row r="10" spans="1:6" ht="15">
      <c r="A10" s="61" t="s">
        <v>84</v>
      </c>
      <c r="B10" s="61"/>
      <c r="C10" s="52"/>
      <c r="D10" s="64" t="s">
        <v>118</v>
      </c>
      <c r="E10" s="63"/>
      <c r="F10" s="63"/>
    </row>
    <row r="11" spans="1:5" ht="15">
      <c r="A11" s="61" t="s">
        <v>2</v>
      </c>
      <c r="B11" s="61"/>
      <c r="C11" s="52"/>
      <c r="D11" s="52"/>
      <c r="E11" s="21"/>
    </row>
    <row r="12" spans="1:5" ht="15" customHeight="1">
      <c r="A12" s="61" t="s">
        <v>145</v>
      </c>
      <c r="B12" s="61"/>
      <c r="C12" s="52"/>
      <c r="D12" s="52"/>
      <c r="E12" s="21"/>
    </row>
    <row r="13" spans="1:5" ht="15">
      <c r="A13" s="54"/>
      <c r="B13" s="54"/>
      <c r="C13" s="52"/>
      <c r="D13" s="52"/>
      <c r="E13" s="21"/>
    </row>
    <row r="14" spans="1:6" ht="15.75">
      <c r="A14" s="67" t="s">
        <v>86</v>
      </c>
      <c r="B14" s="67"/>
      <c r="C14" s="67"/>
      <c r="D14" s="67"/>
      <c r="E14" s="67"/>
      <c r="F14" s="67"/>
    </row>
    <row r="15" spans="1:6" ht="15.75">
      <c r="A15" s="67" t="s">
        <v>87</v>
      </c>
      <c r="B15" s="67"/>
      <c r="C15" s="67"/>
      <c r="D15" s="67"/>
      <c r="E15" s="67"/>
      <c r="F15" s="67"/>
    </row>
    <row r="16" spans="1:6" ht="15.75">
      <c r="A16" s="67" t="s">
        <v>88</v>
      </c>
      <c r="B16" s="67"/>
      <c r="C16" s="67"/>
      <c r="D16" s="67"/>
      <c r="E16" s="67"/>
      <c r="F16" s="67"/>
    </row>
    <row r="17" spans="1:6" ht="15">
      <c r="A17" s="80" t="s">
        <v>97</v>
      </c>
      <c r="B17" s="81"/>
      <c r="C17" s="81"/>
      <c r="D17" s="81"/>
      <c r="E17" s="81"/>
      <c r="F17" s="81"/>
    </row>
    <row r="18" spans="1:5" ht="15">
      <c r="A18" s="3"/>
      <c r="B18" s="3"/>
      <c r="C18" s="3"/>
      <c r="D18" s="3"/>
      <c r="E18" s="55"/>
    </row>
    <row r="19" spans="1:9" ht="28.5">
      <c r="A19" s="10" t="s">
        <v>47</v>
      </c>
      <c r="B19" s="3"/>
      <c r="C19" s="3"/>
      <c r="D19" s="3"/>
      <c r="E19" s="48"/>
      <c r="H19" s="51">
        <v>3678.2</v>
      </c>
      <c r="I19" s="31">
        <v>77549.72</v>
      </c>
    </row>
    <row r="20" ht="15">
      <c r="D20" s="16"/>
    </row>
    <row r="21" spans="1:42" ht="42" customHeight="1">
      <c r="A21" s="74" t="s">
        <v>8</v>
      </c>
      <c r="B21" s="74" t="s">
        <v>4</v>
      </c>
      <c r="C21" s="28" t="s">
        <v>5</v>
      </c>
      <c r="D21" s="75" t="s">
        <v>6</v>
      </c>
      <c r="E21" s="77" t="s">
        <v>7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3"/>
    </row>
    <row r="22" spans="1:42" ht="14.25" customHeight="1">
      <c r="A22" s="74"/>
      <c r="B22" s="74"/>
      <c r="C22" s="28"/>
      <c r="D22" s="76"/>
      <c r="E22" s="77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6"/>
    </row>
    <row r="23" spans="1:44" s="11" customFormat="1" ht="51">
      <c r="A23" s="23">
        <v>1</v>
      </c>
      <c r="B23" s="24" t="s">
        <v>13</v>
      </c>
      <c r="C23" s="25"/>
      <c r="D23" s="44">
        <f>D24+D25+D54+D55</f>
        <v>1729560.247276199</v>
      </c>
      <c r="E23" s="50">
        <f>E24+E25+E54+E55</f>
        <v>39.18493301243812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6"/>
      <c r="AQ23" s="38"/>
      <c r="AR23" s="38"/>
    </row>
    <row r="24" spans="1:44" ht="51.75" customHeight="1">
      <c r="A24" s="8">
        <v>2</v>
      </c>
      <c r="B24" s="5" t="s">
        <v>45</v>
      </c>
      <c r="C24" s="13" t="s">
        <v>54</v>
      </c>
      <c r="D24" s="45">
        <f>1905742/77549.72*3678.2</f>
        <v>90389.75542916208</v>
      </c>
      <c r="E24" s="26">
        <f>D24/H19/12</f>
        <v>2.0478711378111143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6"/>
      <c r="AQ24" s="40"/>
      <c r="AR24" s="40"/>
    </row>
    <row r="25" spans="1:44" ht="25.5">
      <c r="A25" s="8">
        <v>3</v>
      </c>
      <c r="B25" s="5" t="s">
        <v>29</v>
      </c>
      <c r="C25" s="13"/>
      <c r="D25" s="45">
        <f>D26+D27+D28+D29+D30+D31+D32+D33+D34+D35+D36+D37+D38+D39+D40+D41+D42+D43+D44+D45+D46+D47+D48+D49+D50+D51+D52+D53+D54+D55+D56</f>
        <v>1639170.4918470369</v>
      </c>
      <c r="E25" s="26">
        <f>SUM(E26:E56)</f>
        <v>37.13706187462701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0"/>
      <c r="AR25" s="40"/>
    </row>
    <row r="26" spans="1:44" ht="25.5">
      <c r="A26" s="9">
        <v>3.1</v>
      </c>
      <c r="B26" s="5" t="s">
        <v>14</v>
      </c>
      <c r="C26" s="13"/>
      <c r="D26" s="46"/>
      <c r="E26" s="27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6"/>
      <c r="AQ26" s="40"/>
      <c r="AR26" s="40"/>
    </row>
    <row r="27" spans="1:44" ht="24">
      <c r="A27" s="6">
        <v>3.2</v>
      </c>
      <c r="B27" s="5" t="s">
        <v>15</v>
      </c>
      <c r="C27" s="13" t="s">
        <v>57</v>
      </c>
      <c r="D27" s="46">
        <f>353626/77549.72*3678.2</f>
        <v>16772.55769846751</v>
      </c>
      <c r="E27" s="27">
        <f>D27/H19/12</f>
        <v>0.3799992228641616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36"/>
      <c r="AQ27" s="40"/>
      <c r="AR27" s="40"/>
    </row>
    <row r="28" spans="1:44" ht="25.5">
      <c r="A28" s="9">
        <v>3.3</v>
      </c>
      <c r="B28" s="5" t="s">
        <v>16</v>
      </c>
      <c r="C28" s="13" t="s">
        <v>59</v>
      </c>
      <c r="D28" s="46">
        <f>158201/77549.72*3678.2</f>
        <v>7503.507661923214</v>
      </c>
      <c r="E28" s="27">
        <f>D28/H19/12</f>
        <v>0.1699995392203436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36"/>
      <c r="AQ28" s="40"/>
      <c r="AR28" s="40"/>
    </row>
    <row r="29" spans="1:44" ht="34.5" customHeight="1">
      <c r="A29" s="6" t="s">
        <v>68</v>
      </c>
      <c r="B29" s="5" t="s">
        <v>17</v>
      </c>
      <c r="C29" s="13" t="s">
        <v>56</v>
      </c>
      <c r="D29" s="46"/>
      <c r="E29" s="27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6"/>
      <c r="AQ29" s="40"/>
      <c r="AR29" s="40"/>
    </row>
    <row r="30" spans="1:44" ht="34.5" customHeight="1">
      <c r="A30" s="6" t="s">
        <v>69</v>
      </c>
      <c r="B30" s="5" t="s">
        <v>70</v>
      </c>
      <c r="C30" s="13"/>
      <c r="D30" s="46"/>
      <c r="E30" s="27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6"/>
      <c r="AQ30" s="40"/>
      <c r="AR30" s="40"/>
    </row>
    <row r="31" spans="1:44" ht="41.25" customHeight="1">
      <c r="A31" s="6" t="s">
        <v>71</v>
      </c>
      <c r="B31" s="5" t="s">
        <v>72</v>
      </c>
      <c r="C31" s="13"/>
      <c r="D31" s="46"/>
      <c r="E31" s="27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6"/>
      <c r="AQ31" s="40"/>
      <c r="AR31" s="40"/>
    </row>
    <row r="32" spans="1:44" ht="25.5">
      <c r="A32" s="9">
        <v>3.7</v>
      </c>
      <c r="B32" s="5" t="s">
        <v>18</v>
      </c>
      <c r="C32" s="13" t="s">
        <v>57</v>
      </c>
      <c r="D32" s="46">
        <f>2345097/77549.72*3678.2</f>
        <v>111228.45814788241</v>
      </c>
      <c r="E32" s="27">
        <f>D32/H19/12</f>
        <v>2.5199929799875487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36"/>
      <c r="AQ32" s="40"/>
      <c r="AR32" s="40"/>
    </row>
    <row r="33" spans="1:44" ht="25.5">
      <c r="A33" s="6">
        <v>3.8</v>
      </c>
      <c r="B33" s="5" t="s">
        <v>64</v>
      </c>
      <c r="C33" s="13" t="s">
        <v>57</v>
      </c>
      <c r="D33" s="46">
        <f>651416/77549.72*3678.2</f>
        <v>30896.801835003396</v>
      </c>
      <c r="E33" s="27">
        <f>D33/H19/12</f>
        <v>0.6999982290931116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36"/>
      <c r="AQ33" s="40"/>
      <c r="AR33" s="40"/>
    </row>
    <row r="34" spans="1:44" ht="25.5">
      <c r="A34" s="9">
        <v>3.9</v>
      </c>
      <c r="B34" s="5" t="s">
        <v>19</v>
      </c>
      <c r="C34" s="13" t="s">
        <v>57</v>
      </c>
      <c r="D34" s="46">
        <f>697946/77549.72*3678.2</f>
        <v>33103.72980327975</v>
      </c>
      <c r="E34" s="27">
        <f>D34/H19/12</f>
        <v>0.7499984096224547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36"/>
      <c r="AQ34" s="40"/>
      <c r="AR34" s="40"/>
    </row>
    <row r="35" spans="1:44" ht="25.5">
      <c r="A35" s="6" t="s">
        <v>30</v>
      </c>
      <c r="B35" s="5" t="s">
        <v>65</v>
      </c>
      <c r="C35" s="13" t="s">
        <v>57</v>
      </c>
      <c r="D35" s="46"/>
      <c r="E35" s="27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36"/>
      <c r="AQ35" s="40"/>
      <c r="AR35" s="40"/>
    </row>
    <row r="36" spans="1:44" ht="25.5">
      <c r="A36" s="6" t="s">
        <v>31</v>
      </c>
      <c r="B36" s="5" t="s">
        <v>66</v>
      </c>
      <c r="C36" s="13"/>
      <c r="D36" s="46"/>
      <c r="E36" s="27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36"/>
      <c r="AQ36" s="40"/>
      <c r="AR36" s="40"/>
    </row>
    <row r="37" spans="1:44" ht="40.5" customHeight="1">
      <c r="A37" s="6" t="s">
        <v>32</v>
      </c>
      <c r="B37" s="5" t="s">
        <v>20</v>
      </c>
      <c r="C37" s="13"/>
      <c r="D37" s="46"/>
      <c r="E37" s="27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36"/>
      <c r="AQ37" s="40"/>
      <c r="AR37" s="40"/>
    </row>
    <row r="38" spans="1:44" ht="51">
      <c r="A38" s="6" t="s">
        <v>33</v>
      </c>
      <c r="B38" s="5" t="s">
        <v>21</v>
      </c>
      <c r="C38" s="13" t="s">
        <v>58</v>
      </c>
      <c r="D38" s="46">
        <f>2373015/77549.72*3678.2</f>
        <v>112552.61492884821</v>
      </c>
      <c r="E38" s="27">
        <f>D38/H19/12</f>
        <v>2.5499930883051545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36"/>
      <c r="AQ38" s="40"/>
      <c r="AR38" s="40"/>
    </row>
    <row r="39" spans="1:44" ht="33" customHeight="1">
      <c r="A39" s="6" t="s">
        <v>34</v>
      </c>
      <c r="B39" s="5" t="s">
        <v>73</v>
      </c>
      <c r="C39" s="13"/>
      <c r="D39" s="46"/>
      <c r="E39" s="27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36"/>
      <c r="AQ39" s="40"/>
      <c r="AR39" s="40"/>
    </row>
    <row r="40" spans="1:44" ht="41.25" customHeight="1">
      <c r="A40" s="6" t="s">
        <v>35</v>
      </c>
      <c r="B40" s="5" t="s">
        <v>22</v>
      </c>
      <c r="C40" s="13"/>
      <c r="D40" s="46"/>
      <c r="E40" s="27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36"/>
      <c r="AQ40" s="40"/>
      <c r="AR40" s="40"/>
    </row>
    <row r="41" spans="1:44" ht="41.25" customHeight="1">
      <c r="A41" s="6" t="s">
        <v>36</v>
      </c>
      <c r="B41" s="5" t="s">
        <v>74</v>
      </c>
      <c r="C41" s="13"/>
      <c r="D41" s="46"/>
      <c r="E41" s="27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36"/>
      <c r="AQ41" s="40"/>
      <c r="AR41" s="40"/>
    </row>
    <row r="42" spans="1:44" ht="40.5" customHeight="1">
      <c r="A42" s="6" t="s">
        <v>37</v>
      </c>
      <c r="B42" s="5" t="s">
        <v>75</v>
      </c>
      <c r="C42" s="13" t="s">
        <v>54</v>
      </c>
      <c r="D42" s="47">
        <f>2696000/77549.72*3678.2</f>
        <v>127871.86336714045</v>
      </c>
      <c r="E42" s="27">
        <f>D42/H19/12</f>
        <v>2.8970661230842185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36"/>
      <c r="AQ42" s="40"/>
      <c r="AR42" s="40"/>
    </row>
    <row r="43" spans="1:44" ht="51">
      <c r="A43" s="6" t="s">
        <v>38</v>
      </c>
      <c r="B43" s="5" t="s">
        <v>67</v>
      </c>
      <c r="C43" s="13"/>
      <c r="D43" s="46"/>
      <c r="E43" s="27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36"/>
      <c r="AQ43" s="40"/>
      <c r="AR43" s="40"/>
    </row>
    <row r="44" spans="1:44" ht="40.5" customHeight="1">
      <c r="A44" s="6" t="s">
        <v>39</v>
      </c>
      <c r="B44" s="5" t="s">
        <v>76</v>
      </c>
      <c r="C44" s="13"/>
      <c r="D44" s="46"/>
      <c r="E44" s="27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36"/>
      <c r="AQ44" s="40"/>
      <c r="AR44" s="40"/>
    </row>
    <row r="45" spans="1:44" ht="39" customHeight="1">
      <c r="A45" s="6" t="s">
        <v>40</v>
      </c>
      <c r="B45" s="5" t="s">
        <v>77</v>
      </c>
      <c r="C45" s="13" t="s">
        <v>54</v>
      </c>
      <c r="D45" s="29">
        <f>1448000/77549.72*3678.2</f>
        <v>68678.95332181727</v>
      </c>
      <c r="E45" s="27">
        <f>D45/H19/12</f>
        <v>1.5559910037930074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36"/>
      <c r="AQ45" s="40"/>
      <c r="AR45" s="40"/>
    </row>
    <row r="46" spans="1:44" ht="39" customHeight="1">
      <c r="A46" s="6" t="s">
        <v>41</v>
      </c>
      <c r="B46" s="5" t="s">
        <v>78</v>
      </c>
      <c r="C46" s="13"/>
      <c r="D46" s="29"/>
      <c r="E46" s="27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36"/>
      <c r="AQ46" s="40"/>
      <c r="AR46" s="40"/>
    </row>
    <row r="47" spans="1:44" ht="25.5">
      <c r="A47" s="6" t="s">
        <v>42</v>
      </c>
      <c r="B47" s="5" t="s">
        <v>62</v>
      </c>
      <c r="C47" s="13" t="s">
        <v>54</v>
      </c>
      <c r="D47" s="46"/>
      <c r="E47" s="27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36"/>
      <c r="AQ47" s="40"/>
      <c r="AR47" s="40"/>
    </row>
    <row r="48" spans="1:44" ht="25.5">
      <c r="A48" s="6" t="s">
        <v>43</v>
      </c>
      <c r="B48" s="7" t="s">
        <v>63</v>
      </c>
      <c r="C48" s="13" t="s">
        <v>54</v>
      </c>
      <c r="D48" s="46">
        <f>13972201/77549.72*3678.2</f>
        <v>662704.5167693706</v>
      </c>
      <c r="E48" s="27">
        <f>D48/H19/12</f>
        <v>15.014239681759435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36"/>
      <c r="AQ48" s="40"/>
      <c r="AR48" s="40"/>
    </row>
    <row r="49" spans="1:44" ht="25.5">
      <c r="A49" s="6" t="s">
        <v>46</v>
      </c>
      <c r="B49" s="5" t="s">
        <v>23</v>
      </c>
      <c r="C49" s="13" t="s">
        <v>60</v>
      </c>
      <c r="D49" s="46">
        <f>465297/77549.72*3678.2</f>
        <v>22069.13739211437</v>
      </c>
      <c r="E49" s="27">
        <f>D49/H19/12</f>
        <v>0.4999985815551622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36"/>
      <c r="AQ49" s="40"/>
      <c r="AR49" s="40"/>
    </row>
    <row r="50" spans="1:44" ht="25.5">
      <c r="A50" s="6" t="s">
        <v>79</v>
      </c>
      <c r="B50" s="5" t="s">
        <v>24</v>
      </c>
      <c r="C50" s="13" t="s">
        <v>61</v>
      </c>
      <c r="D50" s="46">
        <f>5667319/77549.72*3678.2</f>
        <v>268802.16647848627</v>
      </c>
      <c r="E50" s="27">
        <f>D50/H19/12</f>
        <v>6.089984378194186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36"/>
      <c r="AQ50" s="40"/>
      <c r="AR50" s="40"/>
    </row>
    <row r="51" spans="1:44" ht="38.25">
      <c r="A51" s="6" t="s">
        <v>80</v>
      </c>
      <c r="B51" s="5" t="s">
        <v>25</v>
      </c>
      <c r="C51" s="17" t="s">
        <v>55</v>
      </c>
      <c r="D51" s="29">
        <f>2308000/77549.72*3678.2</f>
        <v>109468.93941074189</v>
      </c>
      <c r="E51" s="27">
        <f>D51/H19/12</f>
        <v>2.4801293071507327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36"/>
      <c r="AQ51" s="40"/>
      <c r="AR51" s="40"/>
    </row>
    <row r="52" spans="1:44" ht="25.5">
      <c r="A52" s="6" t="s">
        <v>81</v>
      </c>
      <c r="B52" s="5" t="s">
        <v>26</v>
      </c>
      <c r="C52" s="13" t="s">
        <v>54</v>
      </c>
      <c r="D52" s="29">
        <f>9000/77549.72*3678.2</f>
        <v>426.87194744223444</v>
      </c>
      <c r="E52" s="27">
        <f>D52/H19/12</f>
        <v>0.009671214802580848</v>
      </c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36"/>
      <c r="AQ52" s="40"/>
      <c r="AR52" s="40"/>
    </row>
    <row r="53" spans="1:44" ht="38.25">
      <c r="A53" s="6" t="s">
        <v>82</v>
      </c>
      <c r="B53" s="5" t="s">
        <v>27</v>
      </c>
      <c r="C53" s="14" t="s">
        <v>54</v>
      </c>
      <c r="D53" s="29">
        <f>1414507/77549.72*3678.2</f>
        <v>67090.3730845192</v>
      </c>
      <c r="E53" s="27">
        <f>D53/H19/12</f>
        <v>1.5200001151949143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36"/>
      <c r="AQ53" s="40"/>
      <c r="AR53" s="40"/>
    </row>
    <row r="54" spans="1:44" ht="25.5">
      <c r="A54" s="6" t="s">
        <v>44</v>
      </c>
      <c r="B54" s="5" t="s">
        <v>28</v>
      </c>
      <c r="C54" s="15" t="s">
        <v>54</v>
      </c>
      <c r="D54" s="46"/>
      <c r="E54" s="27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36"/>
      <c r="AQ54" s="40"/>
      <c r="AR54" s="40"/>
    </row>
    <row r="55" spans="1:44" ht="38.25">
      <c r="A55" s="6" t="s">
        <v>48</v>
      </c>
      <c r="B55" s="5" t="s">
        <v>49</v>
      </c>
      <c r="C55" s="13" t="s">
        <v>52</v>
      </c>
      <c r="D55" s="46"/>
      <c r="E55" s="27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36"/>
      <c r="AQ55" s="40"/>
      <c r="AR55" s="40"/>
    </row>
    <row r="56" spans="1:44" ht="38.25">
      <c r="A56" s="6" t="s">
        <v>50</v>
      </c>
      <c r="B56" s="5" t="s">
        <v>51</v>
      </c>
      <c r="C56" s="13" t="s">
        <v>52</v>
      </c>
      <c r="D56" s="46"/>
      <c r="E56" s="27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36"/>
      <c r="AQ56" s="40"/>
      <c r="AR56" s="40"/>
    </row>
    <row r="57" spans="4:5" ht="15">
      <c r="D57" s="12"/>
      <c r="E57" s="22"/>
    </row>
    <row r="58" spans="4:5" ht="15">
      <c r="D58" s="12"/>
      <c r="E58" s="22"/>
    </row>
    <row r="59" spans="4:5" ht="15">
      <c r="D59" s="12"/>
      <c r="E59" s="22"/>
    </row>
    <row r="60" spans="4:5" ht="15">
      <c r="D60" s="12"/>
      <c r="E60" s="22"/>
    </row>
    <row r="61" spans="4:5" ht="15">
      <c r="D61" s="12"/>
      <c r="E61" s="22"/>
    </row>
    <row r="62" spans="4:5" ht="15">
      <c r="D62" s="12"/>
      <c r="E62" s="22"/>
    </row>
    <row r="63" spans="4:5" ht="15">
      <c r="D63" s="12"/>
      <c r="E63" s="22"/>
    </row>
    <row r="64" spans="4:5" ht="15">
      <c r="D64" s="12"/>
      <c r="E64" s="22"/>
    </row>
    <row r="65" spans="4:5" ht="15">
      <c r="D65" s="12"/>
      <c r="E65" s="22"/>
    </row>
    <row r="66" spans="4:5" ht="15">
      <c r="D66" s="12"/>
      <c r="E66" s="22"/>
    </row>
    <row r="67" spans="4:5" ht="15">
      <c r="D67" s="12"/>
      <c r="E67" s="22"/>
    </row>
    <row r="68" spans="4:5" ht="15">
      <c r="D68" s="12"/>
      <c r="E68" s="22"/>
    </row>
    <row r="69" spans="4:5" ht="15">
      <c r="D69" s="12"/>
      <c r="E69" s="22"/>
    </row>
    <row r="70" spans="4:5" ht="15">
      <c r="D70" s="12"/>
      <c r="E70" s="22"/>
    </row>
    <row r="71" spans="4:5" ht="15">
      <c r="D71" s="12"/>
      <c r="E71" s="22"/>
    </row>
    <row r="72" spans="4:5" ht="15">
      <c r="D72" s="12"/>
      <c r="E72" s="22"/>
    </row>
    <row r="73" spans="4:5" ht="15">
      <c r="D73" s="12"/>
      <c r="E73" s="22"/>
    </row>
    <row r="74" spans="4:5" ht="15">
      <c r="D74" s="12"/>
      <c r="E74" s="22"/>
    </row>
    <row r="75" spans="4:5" ht="15">
      <c r="D75" s="12"/>
      <c r="E75" s="22"/>
    </row>
    <row r="76" spans="4:5" ht="15">
      <c r="D76" s="12"/>
      <c r="E76" s="22"/>
    </row>
    <row r="77" spans="4:5" ht="15">
      <c r="D77" s="12"/>
      <c r="E77" s="22"/>
    </row>
    <row r="78" spans="4:5" ht="15">
      <c r="D78" s="12"/>
      <c r="E78" s="22"/>
    </row>
    <row r="79" spans="4:5" ht="15">
      <c r="D79" s="12"/>
      <c r="E79" s="22"/>
    </row>
    <row r="80" spans="4:5" ht="15">
      <c r="D80" s="12"/>
      <c r="E80" s="22"/>
    </row>
    <row r="81" spans="4:5" ht="15">
      <c r="D81" s="12"/>
      <c r="E81" s="22"/>
    </row>
    <row r="82" spans="4:5" ht="15">
      <c r="D82" s="12"/>
      <c r="E82" s="22"/>
    </row>
    <row r="83" spans="4:5" ht="15">
      <c r="D83" s="12"/>
      <c r="E83" s="22"/>
    </row>
    <row r="84" spans="4:5" ht="15">
      <c r="D84" s="12"/>
      <c r="E84" s="22"/>
    </row>
    <row r="85" spans="4:5" ht="15">
      <c r="D85" s="12"/>
      <c r="E85" s="22"/>
    </row>
    <row r="86" spans="4:5" ht="15">
      <c r="D86" s="12"/>
      <c r="E86" s="22"/>
    </row>
    <row r="87" spans="4:5" ht="15">
      <c r="D87" s="12"/>
      <c r="E87" s="22"/>
    </row>
    <row r="88" spans="4:5" ht="15">
      <c r="D88" s="12"/>
      <c r="E88" s="22"/>
    </row>
    <row r="89" spans="4:5" ht="15">
      <c r="D89" s="12"/>
      <c r="E89" s="22"/>
    </row>
    <row r="90" spans="4:5" ht="15">
      <c r="D90" s="12"/>
      <c r="E90" s="22"/>
    </row>
    <row r="91" spans="4:5" ht="15">
      <c r="D91" s="12"/>
      <c r="E91" s="22"/>
    </row>
    <row r="92" spans="4:5" ht="15">
      <c r="D92" s="12"/>
      <c r="E92" s="22"/>
    </row>
    <row r="93" spans="4:5" ht="15">
      <c r="D93" s="12"/>
      <c r="E93" s="22"/>
    </row>
    <row r="94" spans="4:5" ht="15">
      <c r="D94" s="12"/>
      <c r="E94" s="22"/>
    </row>
    <row r="95" spans="4:5" ht="15">
      <c r="D95" s="12"/>
      <c r="E95" s="22"/>
    </row>
    <row r="96" spans="4:5" ht="15">
      <c r="D96" s="12"/>
      <c r="E96" s="22"/>
    </row>
    <row r="97" spans="4:5" ht="15">
      <c r="D97" s="12"/>
      <c r="E97" s="22"/>
    </row>
    <row r="98" spans="4:5" ht="15">
      <c r="D98" s="12"/>
      <c r="E98" s="22"/>
    </row>
    <row r="99" spans="4:5" ht="15">
      <c r="D99" s="12"/>
      <c r="E99" s="22"/>
    </row>
    <row r="100" spans="4:5" ht="15">
      <c r="D100" s="12"/>
      <c r="E100" s="22"/>
    </row>
    <row r="101" spans="4:5" ht="15">
      <c r="D101" s="12"/>
      <c r="E101" s="22"/>
    </row>
    <row r="102" spans="4:5" ht="15">
      <c r="D102" s="12"/>
      <c r="E102" s="22"/>
    </row>
    <row r="103" spans="4:5" ht="15">
      <c r="D103" s="12"/>
      <c r="E103" s="22"/>
    </row>
    <row r="104" spans="4:5" ht="15">
      <c r="D104" s="12"/>
      <c r="E104" s="22"/>
    </row>
    <row r="105" spans="4:5" ht="15">
      <c r="D105" s="12"/>
      <c r="E105" s="22"/>
    </row>
    <row r="106" spans="4:5" ht="15">
      <c r="D106" s="12"/>
      <c r="E106" s="22"/>
    </row>
    <row r="107" spans="4:5" ht="15">
      <c r="D107" s="12"/>
      <c r="E107" s="22"/>
    </row>
    <row r="108" spans="4:5" ht="15">
      <c r="D108" s="12"/>
      <c r="E108" s="22"/>
    </row>
    <row r="109" spans="4:5" ht="15">
      <c r="D109" s="12"/>
      <c r="E109" s="22"/>
    </row>
    <row r="110" spans="4:5" ht="15">
      <c r="D110" s="12"/>
      <c r="E110" s="22"/>
    </row>
    <row r="111" spans="4:5" ht="15">
      <c r="D111" s="12"/>
      <c r="E111" s="22"/>
    </row>
    <row r="112" spans="4:5" ht="15">
      <c r="D112" s="12"/>
      <c r="E112" s="22"/>
    </row>
    <row r="113" spans="4:5" ht="15">
      <c r="D113" s="12"/>
      <c r="E113" s="22"/>
    </row>
    <row r="114" spans="4:5" ht="15">
      <c r="D114" s="12"/>
      <c r="E114" s="22"/>
    </row>
    <row r="115" spans="4:5" ht="15">
      <c r="D115" s="12"/>
      <c r="E115" s="22"/>
    </row>
    <row r="116" spans="4:5" ht="15">
      <c r="D116" s="12"/>
      <c r="E116" s="22"/>
    </row>
    <row r="117" spans="4:5" ht="15">
      <c r="D117" s="12"/>
      <c r="E117" s="22"/>
    </row>
    <row r="118" spans="4:5" ht="15">
      <c r="D118" s="12"/>
      <c r="E118" s="22"/>
    </row>
    <row r="119" spans="4:5" ht="15">
      <c r="D119" s="12"/>
      <c r="E119" s="22"/>
    </row>
    <row r="120" spans="4:5" ht="15">
      <c r="D120" s="12"/>
      <c r="E120" s="22"/>
    </row>
    <row r="121" spans="4:5" ht="15">
      <c r="D121" s="12"/>
      <c r="E121" s="22"/>
    </row>
    <row r="122" spans="4:5" ht="15">
      <c r="D122" s="12"/>
      <c r="E122" s="22"/>
    </row>
    <row r="123" spans="4:5" ht="15">
      <c r="D123" s="12"/>
      <c r="E123" s="22"/>
    </row>
    <row r="124" spans="4:5" ht="15">
      <c r="D124" s="12"/>
      <c r="E124" s="22"/>
    </row>
    <row r="125" spans="4:5" ht="15">
      <c r="D125" s="12"/>
      <c r="E125" s="22"/>
    </row>
    <row r="126" spans="4:5" ht="15">
      <c r="D126" s="12"/>
      <c r="E126" s="22"/>
    </row>
    <row r="127" spans="4:5" ht="15">
      <c r="D127" s="12"/>
      <c r="E127" s="22"/>
    </row>
    <row r="128" spans="4:5" ht="15">
      <c r="D128" s="12"/>
      <c r="E128" s="22"/>
    </row>
    <row r="129" spans="4:5" ht="15">
      <c r="D129" s="12"/>
      <c r="E129" s="22"/>
    </row>
    <row r="130" spans="4:5" ht="15">
      <c r="D130" s="12"/>
      <c r="E130" s="22"/>
    </row>
  </sheetData>
  <sheetProtection/>
  <mergeCells count="16">
    <mergeCell ref="A14:F14"/>
    <mergeCell ref="A15:F15"/>
    <mergeCell ref="A21:A22"/>
    <mergeCell ref="B21:B22"/>
    <mergeCell ref="D21:D22"/>
    <mergeCell ref="E21:E22"/>
    <mergeCell ref="A16:F16"/>
    <mergeCell ref="A17:F17"/>
    <mergeCell ref="A8:B8"/>
    <mergeCell ref="E8:F8"/>
    <mergeCell ref="A9:B9"/>
    <mergeCell ref="D9:F9"/>
    <mergeCell ref="A10:B10"/>
    <mergeCell ref="D10:F10"/>
    <mergeCell ref="A11:B11"/>
    <mergeCell ref="A12:B12"/>
  </mergeCells>
  <printOptions/>
  <pageMargins left="1.1811023622047245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R130"/>
  <sheetViews>
    <sheetView zoomScalePageLayoutView="0" workbookViewId="0" topLeftCell="A8">
      <selection activeCell="A12" sqref="A12:B12"/>
    </sheetView>
  </sheetViews>
  <sheetFormatPr defaultColWidth="9.140625" defaultRowHeight="15"/>
  <cols>
    <col min="1" max="1" width="5.8515625" style="4" customWidth="1"/>
    <col min="2" max="2" width="38.00390625" style="4" customWidth="1"/>
    <col min="3" max="3" width="17.7109375" style="4" hidden="1" customWidth="1"/>
    <col min="4" max="4" width="14.28125" style="4" customWidth="1"/>
    <col min="5" max="5" width="26.28125" style="19" customWidth="1"/>
    <col min="6" max="6" width="10.140625" style="30" customWidth="1"/>
    <col min="7" max="7" width="10.57421875" style="31" customWidth="1"/>
    <col min="8" max="8" width="10.421875" style="31" customWidth="1"/>
    <col min="9" max="9" width="10.00390625" style="31" customWidth="1"/>
    <col min="10" max="10" width="9.8515625" style="31" customWidth="1"/>
    <col min="11" max="11" width="9.28125" style="31" customWidth="1"/>
    <col min="12" max="14" width="9.8515625" style="31" customWidth="1"/>
    <col min="15" max="23" width="9.8515625" style="31" hidden="1" customWidth="1"/>
    <col min="24" max="39" width="9.8515625" style="31" customWidth="1"/>
    <col min="40" max="40" width="11.421875" style="31" customWidth="1"/>
    <col min="41" max="41" width="11.00390625" style="31" customWidth="1"/>
    <col min="42" max="42" width="11.140625" style="31" customWidth="1"/>
    <col min="43" max="44" width="9.140625" style="31" customWidth="1"/>
    <col min="45" max="16384" width="9.140625" style="4" customWidth="1"/>
  </cols>
  <sheetData>
    <row r="1" spans="1:5" ht="15.75" hidden="1">
      <c r="A1" s="1" t="s">
        <v>0</v>
      </c>
      <c r="E1" s="18" t="s">
        <v>9</v>
      </c>
    </row>
    <row r="2" spans="1:5" ht="15.75" hidden="1">
      <c r="A2" s="1" t="s">
        <v>1</v>
      </c>
      <c r="E2" s="18" t="s">
        <v>11</v>
      </c>
    </row>
    <row r="3" spans="1:5" ht="15.75" hidden="1">
      <c r="A3" s="1" t="s">
        <v>2</v>
      </c>
      <c r="E3" s="18" t="s">
        <v>10</v>
      </c>
    </row>
    <row r="4" ht="15.75" hidden="1">
      <c r="A4" s="1" t="s">
        <v>3</v>
      </c>
    </row>
    <row r="5" ht="15" hidden="1"/>
    <row r="6" spans="1:5" ht="93.75" hidden="1">
      <c r="A6" s="2" t="s">
        <v>12</v>
      </c>
      <c r="B6" s="3"/>
      <c r="C6" s="3"/>
      <c r="D6" s="3"/>
      <c r="E6" s="20"/>
    </row>
    <row r="7" spans="1:5" ht="15" hidden="1">
      <c r="A7" s="3" t="s">
        <v>53</v>
      </c>
      <c r="B7" s="3"/>
      <c r="C7" s="3"/>
      <c r="D7" s="3"/>
      <c r="E7" s="21"/>
    </row>
    <row r="8" spans="1:6" ht="15.75" customHeight="1">
      <c r="A8" s="60" t="s">
        <v>0</v>
      </c>
      <c r="B8" s="61"/>
      <c r="C8" s="52"/>
      <c r="D8" s="53"/>
      <c r="E8" s="62" t="s">
        <v>9</v>
      </c>
      <c r="F8" s="63"/>
    </row>
    <row r="9" spans="1:6" ht="15">
      <c r="A9" s="61" t="s">
        <v>83</v>
      </c>
      <c r="B9" s="61"/>
      <c r="C9" s="52"/>
      <c r="D9" s="64" t="s">
        <v>114</v>
      </c>
      <c r="E9" s="63"/>
      <c r="F9" s="63"/>
    </row>
    <row r="10" spans="1:6" ht="15">
      <c r="A10" s="61" t="s">
        <v>84</v>
      </c>
      <c r="B10" s="61"/>
      <c r="C10" s="52"/>
      <c r="D10" s="64" t="s">
        <v>118</v>
      </c>
      <c r="E10" s="63"/>
      <c r="F10" s="63"/>
    </row>
    <row r="11" spans="1:5" ht="15">
      <c r="A11" s="61" t="s">
        <v>2</v>
      </c>
      <c r="B11" s="61"/>
      <c r="C11" s="52"/>
      <c r="D11" s="52"/>
      <c r="E11" s="21"/>
    </row>
    <row r="12" spans="1:5" ht="15" customHeight="1">
      <c r="A12" s="61" t="s">
        <v>146</v>
      </c>
      <c r="B12" s="61"/>
      <c r="C12" s="52"/>
      <c r="D12" s="52"/>
      <c r="E12" s="21"/>
    </row>
    <row r="13" spans="1:5" ht="15">
      <c r="A13" s="54"/>
      <c r="B13" s="54"/>
      <c r="C13" s="52"/>
      <c r="D13" s="52"/>
      <c r="E13" s="21"/>
    </row>
    <row r="14" spans="1:6" ht="15.75">
      <c r="A14" s="67" t="s">
        <v>86</v>
      </c>
      <c r="B14" s="67"/>
      <c r="C14" s="67"/>
      <c r="D14" s="67"/>
      <c r="E14" s="67"/>
      <c r="F14" s="67"/>
    </row>
    <row r="15" spans="1:6" ht="15.75">
      <c r="A15" s="67" t="s">
        <v>87</v>
      </c>
      <c r="B15" s="67"/>
      <c r="C15" s="67"/>
      <c r="D15" s="67"/>
      <c r="E15" s="67"/>
      <c r="F15" s="67"/>
    </row>
    <row r="16" spans="1:6" ht="15.75">
      <c r="A16" s="67" t="s">
        <v>88</v>
      </c>
      <c r="B16" s="67"/>
      <c r="C16" s="67"/>
      <c r="D16" s="67"/>
      <c r="E16" s="67"/>
      <c r="F16" s="67"/>
    </row>
    <row r="17" spans="1:6" ht="15">
      <c r="A17" s="80" t="s">
        <v>98</v>
      </c>
      <c r="B17" s="81"/>
      <c r="C17" s="81"/>
      <c r="D17" s="81"/>
      <c r="E17" s="81"/>
      <c r="F17" s="81"/>
    </row>
    <row r="18" spans="1:5" ht="15">
      <c r="A18" s="3"/>
      <c r="B18" s="3"/>
      <c r="C18" s="3"/>
      <c r="D18" s="3"/>
      <c r="E18" s="55"/>
    </row>
    <row r="19" spans="1:9" ht="28.5">
      <c r="A19" s="10" t="s">
        <v>47</v>
      </c>
      <c r="B19" s="3"/>
      <c r="C19" s="3"/>
      <c r="D19" s="3"/>
      <c r="E19" s="48"/>
      <c r="H19" s="51">
        <v>1794.2</v>
      </c>
      <c r="I19" s="31">
        <v>77549.72</v>
      </c>
    </row>
    <row r="20" ht="15">
      <c r="D20" s="16"/>
    </row>
    <row r="21" spans="1:42" ht="42" customHeight="1">
      <c r="A21" s="74" t="s">
        <v>8</v>
      </c>
      <c r="B21" s="74" t="s">
        <v>4</v>
      </c>
      <c r="C21" s="28" t="s">
        <v>5</v>
      </c>
      <c r="D21" s="75" t="s">
        <v>6</v>
      </c>
      <c r="E21" s="77" t="s">
        <v>7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3"/>
    </row>
    <row r="22" spans="1:42" ht="14.25" customHeight="1">
      <c r="A22" s="74"/>
      <c r="B22" s="74"/>
      <c r="C22" s="28"/>
      <c r="D22" s="76"/>
      <c r="E22" s="77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6"/>
    </row>
    <row r="23" spans="1:44" s="11" customFormat="1" ht="51">
      <c r="A23" s="23">
        <v>1</v>
      </c>
      <c r="B23" s="24" t="s">
        <v>13</v>
      </c>
      <c r="C23" s="25"/>
      <c r="D23" s="44">
        <f>D24+D25+D54+D55</f>
        <v>843667.2817309978</v>
      </c>
      <c r="E23" s="50">
        <f>E24+E25+E54+E55</f>
        <v>39.18493301243812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6"/>
      <c r="AQ23" s="38"/>
      <c r="AR23" s="38"/>
    </row>
    <row r="24" spans="1:44" ht="51.75" customHeight="1">
      <c r="A24" s="8">
        <v>2</v>
      </c>
      <c r="B24" s="5" t="s">
        <v>45</v>
      </c>
      <c r="C24" s="13" t="s">
        <v>54</v>
      </c>
      <c r="D24" s="45">
        <f>1905742/77549.72*1794.2</f>
        <v>44091.48474552842</v>
      </c>
      <c r="E24" s="26">
        <f>D24/H19/12</f>
        <v>2.0478711378111143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6"/>
      <c r="AQ24" s="40"/>
      <c r="AR24" s="40"/>
    </row>
    <row r="25" spans="1:44" ht="25.5">
      <c r="A25" s="8">
        <v>3</v>
      </c>
      <c r="B25" s="5" t="s">
        <v>29</v>
      </c>
      <c r="C25" s="13"/>
      <c r="D25" s="45">
        <f>D26+D27+D28+D29+D30+D31+D32+D33+D34+D35+D36+D37+D38+D39+D40+D41+D42+D43+D44+D45+D46+D47+D48+D49+D50+D51+D52+D53+D54+D55+D56</f>
        <v>799575.7969854694</v>
      </c>
      <c r="E25" s="26">
        <f>SUM(E26:E56)</f>
        <v>37.13706187462701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0"/>
      <c r="AR25" s="40"/>
    </row>
    <row r="26" spans="1:44" ht="25.5">
      <c r="A26" s="9">
        <v>3.1</v>
      </c>
      <c r="B26" s="5" t="s">
        <v>14</v>
      </c>
      <c r="C26" s="13"/>
      <c r="D26" s="46"/>
      <c r="E26" s="27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6"/>
      <c r="AQ26" s="40"/>
      <c r="AR26" s="40"/>
    </row>
    <row r="27" spans="1:44" ht="24">
      <c r="A27" s="6">
        <v>3.2</v>
      </c>
      <c r="B27" s="5" t="s">
        <v>15</v>
      </c>
      <c r="C27" s="13" t="s">
        <v>57</v>
      </c>
      <c r="D27" s="46">
        <f>353626/77549.72*1794.2</f>
        <v>8181.535267954546</v>
      </c>
      <c r="E27" s="27">
        <f>D27/H19/12</f>
        <v>0.3799992228641616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36"/>
      <c r="AQ27" s="40"/>
      <c r="AR27" s="40"/>
    </row>
    <row r="28" spans="1:44" ht="25.5">
      <c r="A28" s="9">
        <v>3.3</v>
      </c>
      <c r="B28" s="5" t="s">
        <v>16</v>
      </c>
      <c r="C28" s="13" t="s">
        <v>59</v>
      </c>
      <c r="D28" s="46">
        <f>158201/77549.72*1794.2</f>
        <v>3660.1580792296863</v>
      </c>
      <c r="E28" s="27">
        <f>D28/H19/12</f>
        <v>0.1699995392203436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36"/>
      <c r="AQ28" s="40"/>
      <c r="AR28" s="40"/>
    </row>
    <row r="29" spans="1:44" ht="34.5" customHeight="1">
      <c r="A29" s="6" t="s">
        <v>68</v>
      </c>
      <c r="B29" s="5" t="s">
        <v>17</v>
      </c>
      <c r="C29" s="13" t="s">
        <v>56</v>
      </c>
      <c r="D29" s="46"/>
      <c r="E29" s="27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6"/>
      <c r="AQ29" s="40"/>
      <c r="AR29" s="40"/>
    </row>
    <row r="30" spans="1:44" ht="34.5" customHeight="1">
      <c r="A30" s="6" t="s">
        <v>69</v>
      </c>
      <c r="B30" s="5" t="s">
        <v>70</v>
      </c>
      <c r="C30" s="13"/>
      <c r="D30" s="46"/>
      <c r="E30" s="27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6"/>
      <c r="AQ30" s="40"/>
      <c r="AR30" s="40"/>
    </row>
    <row r="31" spans="1:44" ht="41.25" customHeight="1">
      <c r="A31" s="6" t="s">
        <v>71</v>
      </c>
      <c r="B31" s="5" t="s">
        <v>72</v>
      </c>
      <c r="C31" s="13"/>
      <c r="D31" s="46"/>
      <c r="E31" s="27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6"/>
      <c r="AQ31" s="40"/>
      <c r="AR31" s="40"/>
    </row>
    <row r="32" spans="1:44" ht="25.5">
      <c r="A32" s="9">
        <v>3.7</v>
      </c>
      <c r="B32" s="5" t="s">
        <v>18</v>
      </c>
      <c r="C32" s="13" t="s">
        <v>57</v>
      </c>
      <c r="D32" s="46">
        <f>2345097/77549.72*1794.2</f>
        <v>54256.456856323915</v>
      </c>
      <c r="E32" s="27">
        <f>D32/H19/12</f>
        <v>2.5199929799875487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36"/>
      <c r="AQ32" s="40"/>
      <c r="AR32" s="40"/>
    </row>
    <row r="33" spans="1:44" ht="25.5">
      <c r="A33" s="6">
        <v>3.8</v>
      </c>
      <c r="B33" s="5" t="s">
        <v>64</v>
      </c>
      <c r="C33" s="13" t="s">
        <v>57</v>
      </c>
      <c r="D33" s="46">
        <f>651416/77549.72*1794.2</f>
        <v>15071.24187166633</v>
      </c>
      <c r="E33" s="27">
        <f>D33/H19/12</f>
        <v>0.6999982290931116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36"/>
      <c r="AQ33" s="40"/>
      <c r="AR33" s="40"/>
    </row>
    <row r="34" spans="1:44" ht="25.5">
      <c r="A34" s="9">
        <v>3.9</v>
      </c>
      <c r="B34" s="5" t="s">
        <v>19</v>
      </c>
      <c r="C34" s="13" t="s">
        <v>57</v>
      </c>
      <c r="D34" s="46">
        <f>697946/77549.72*1794.2</f>
        <v>16147.765758535297</v>
      </c>
      <c r="E34" s="27">
        <f>D34/H19/12</f>
        <v>0.7499984096224547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36"/>
      <c r="AQ34" s="40"/>
      <c r="AR34" s="40"/>
    </row>
    <row r="35" spans="1:44" ht="25.5">
      <c r="A35" s="6" t="s">
        <v>30</v>
      </c>
      <c r="B35" s="5" t="s">
        <v>65</v>
      </c>
      <c r="C35" s="13" t="s">
        <v>57</v>
      </c>
      <c r="D35" s="46"/>
      <c r="E35" s="27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36"/>
      <c r="AQ35" s="40"/>
      <c r="AR35" s="40"/>
    </row>
    <row r="36" spans="1:44" ht="25.5">
      <c r="A36" s="6" t="s">
        <v>31</v>
      </c>
      <c r="B36" s="5" t="s">
        <v>66</v>
      </c>
      <c r="C36" s="13"/>
      <c r="D36" s="46"/>
      <c r="E36" s="27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36"/>
      <c r="AQ36" s="40"/>
      <c r="AR36" s="40"/>
    </row>
    <row r="37" spans="1:44" ht="40.5" customHeight="1">
      <c r="A37" s="6" t="s">
        <v>32</v>
      </c>
      <c r="B37" s="5" t="s">
        <v>20</v>
      </c>
      <c r="C37" s="13"/>
      <c r="D37" s="46"/>
      <c r="E37" s="27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36"/>
      <c r="AQ37" s="40"/>
      <c r="AR37" s="40"/>
    </row>
    <row r="38" spans="1:44" ht="51">
      <c r="A38" s="6" t="s">
        <v>33</v>
      </c>
      <c r="B38" s="5" t="s">
        <v>21</v>
      </c>
      <c r="C38" s="13" t="s">
        <v>58</v>
      </c>
      <c r="D38" s="46">
        <f>2373015/77549.72*1794.2</f>
        <v>54902.37118844529</v>
      </c>
      <c r="E38" s="27">
        <f>D38/H19/12</f>
        <v>2.5499930883051545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36"/>
      <c r="AQ38" s="40"/>
      <c r="AR38" s="40"/>
    </row>
    <row r="39" spans="1:44" ht="33" customHeight="1">
      <c r="A39" s="6" t="s">
        <v>34</v>
      </c>
      <c r="B39" s="5" t="s">
        <v>73</v>
      </c>
      <c r="C39" s="13"/>
      <c r="D39" s="46"/>
      <c r="E39" s="27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36"/>
      <c r="AQ39" s="40"/>
      <c r="AR39" s="40"/>
    </row>
    <row r="40" spans="1:44" ht="41.25" customHeight="1">
      <c r="A40" s="6" t="s">
        <v>35</v>
      </c>
      <c r="B40" s="5" t="s">
        <v>22</v>
      </c>
      <c r="C40" s="13"/>
      <c r="D40" s="46"/>
      <c r="E40" s="27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36"/>
      <c r="AQ40" s="40"/>
      <c r="AR40" s="40"/>
    </row>
    <row r="41" spans="1:44" ht="41.25" customHeight="1">
      <c r="A41" s="6" t="s">
        <v>36</v>
      </c>
      <c r="B41" s="5" t="s">
        <v>74</v>
      </c>
      <c r="C41" s="13"/>
      <c r="D41" s="46"/>
      <c r="E41" s="27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36"/>
      <c r="AQ41" s="40"/>
      <c r="AR41" s="40"/>
    </row>
    <row r="42" spans="1:44" ht="40.5" customHeight="1">
      <c r="A42" s="6" t="s">
        <v>37</v>
      </c>
      <c r="B42" s="5" t="s">
        <v>75</v>
      </c>
      <c r="C42" s="13" t="s">
        <v>54</v>
      </c>
      <c r="D42" s="47">
        <f>2696000/77549.72*1794.2</f>
        <v>62374.992456452455</v>
      </c>
      <c r="E42" s="27">
        <f>D42/H19/12</f>
        <v>2.8970661230842185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36"/>
      <c r="AQ42" s="40"/>
      <c r="AR42" s="40"/>
    </row>
    <row r="43" spans="1:44" ht="51">
      <c r="A43" s="6" t="s">
        <v>38</v>
      </c>
      <c r="B43" s="5" t="s">
        <v>67</v>
      </c>
      <c r="C43" s="13"/>
      <c r="D43" s="46"/>
      <c r="E43" s="27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36"/>
      <c r="AQ43" s="40"/>
      <c r="AR43" s="40"/>
    </row>
    <row r="44" spans="1:44" ht="40.5" customHeight="1">
      <c r="A44" s="6" t="s">
        <v>39</v>
      </c>
      <c r="B44" s="5" t="s">
        <v>76</v>
      </c>
      <c r="C44" s="13"/>
      <c r="D44" s="46"/>
      <c r="E44" s="27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36"/>
      <c r="AQ44" s="40"/>
      <c r="AR44" s="40"/>
    </row>
    <row r="45" spans="1:44" ht="39" customHeight="1">
      <c r="A45" s="6" t="s">
        <v>40</v>
      </c>
      <c r="B45" s="5" t="s">
        <v>77</v>
      </c>
      <c r="C45" s="13" t="s">
        <v>54</v>
      </c>
      <c r="D45" s="29">
        <f>1448000/77549.72*1794.2</f>
        <v>33501.10870806497</v>
      </c>
      <c r="E45" s="27">
        <f>D45/H19/12</f>
        <v>1.5559910037930074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36"/>
      <c r="AQ45" s="40"/>
      <c r="AR45" s="40"/>
    </row>
    <row r="46" spans="1:44" ht="39" customHeight="1">
      <c r="A46" s="6" t="s">
        <v>41</v>
      </c>
      <c r="B46" s="5" t="s">
        <v>78</v>
      </c>
      <c r="C46" s="13"/>
      <c r="D46" s="29"/>
      <c r="E46" s="27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36"/>
      <c r="AQ46" s="40"/>
      <c r="AR46" s="40"/>
    </row>
    <row r="47" spans="1:44" ht="25.5">
      <c r="A47" s="6" t="s">
        <v>42</v>
      </c>
      <c r="B47" s="5" t="s">
        <v>62</v>
      </c>
      <c r="C47" s="13" t="s">
        <v>54</v>
      </c>
      <c r="D47" s="46"/>
      <c r="E47" s="27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36"/>
      <c r="AQ47" s="40"/>
      <c r="AR47" s="40"/>
    </row>
    <row r="48" spans="1:44" ht="25.5">
      <c r="A48" s="6" t="s">
        <v>43</v>
      </c>
      <c r="B48" s="7" t="s">
        <v>63</v>
      </c>
      <c r="C48" s="13" t="s">
        <v>54</v>
      </c>
      <c r="D48" s="46">
        <f>13972201/77549.72*1794.2</f>
        <v>323262.5860441533</v>
      </c>
      <c r="E48" s="27">
        <f>D48/H19/12</f>
        <v>15.014239681759435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36"/>
      <c r="AQ48" s="40"/>
      <c r="AR48" s="40"/>
    </row>
    <row r="49" spans="1:44" ht="25.5">
      <c r="A49" s="6" t="s">
        <v>46</v>
      </c>
      <c r="B49" s="5" t="s">
        <v>23</v>
      </c>
      <c r="C49" s="13" t="s">
        <v>60</v>
      </c>
      <c r="D49" s="46">
        <f>465297/77549.72*1794.2</f>
        <v>10765.169460315266</v>
      </c>
      <c r="E49" s="27">
        <f>D49/H19/12</f>
        <v>0.49999858155516225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36"/>
      <c r="AQ49" s="40"/>
      <c r="AR49" s="40"/>
    </row>
    <row r="50" spans="1:44" ht="25.5">
      <c r="A50" s="6" t="s">
        <v>79</v>
      </c>
      <c r="B50" s="5" t="s">
        <v>24</v>
      </c>
      <c r="C50" s="13" t="s">
        <v>61</v>
      </c>
      <c r="D50" s="46">
        <f>5667319/77549.72*1794.2</f>
        <v>131119.79965627214</v>
      </c>
      <c r="E50" s="27">
        <f>D50/H19/12</f>
        <v>6.089984378194187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36"/>
      <c r="AQ50" s="40"/>
      <c r="AR50" s="40"/>
    </row>
    <row r="51" spans="1:44" ht="38.25">
      <c r="A51" s="6" t="s">
        <v>80</v>
      </c>
      <c r="B51" s="5" t="s">
        <v>25</v>
      </c>
      <c r="C51" s="17" t="s">
        <v>55</v>
      </c>
      <c r="D51" s="29">
        <f>2308000/77549.72*1794.2</f>
        <v>53398.17603467814</v>
      </c>
      <c r="E51" s="27">
        <f>D51/H19/12</f>
        <v>2.4801293071507327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36"/>
      <c r="AQ51" s="40"/>
      <c r="AR51" s="40"/>
    </row>
    <row r="52" spans="1:44" ht="25.5">
      <c r="A52" s="6" t="s">
        <v>81</v>
      </c>
      <c r="B52" s="5" t="s">
        <v>26</v>
      </c>
      <c r="C52" s="13" t="s">
        <v>54</v>
      </c>
      <c r="D52" s="29">
        <f>9000/77549.72*1794.2</f>
        <v>208.2251231854867</v>
      </c>
      <c r="E52" s="27">
        <f>D52/H19/12</f>
        <v>0.009671214802580848</v>
      </c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36"/>
      <c r="AQ52" s="40"/>
      <c r="AR52" s="40"/>
    </row>
    <row r="53" spans="1:44" ht="38.25">
      <c r="A53" s="6" t="s">
        <v>82</v>
      </c>
      <c r="B53" s="5" t="s">
        <v>27</v>
      </c>
      <c r="C53" s="14" t="s">
        <v>54</v>
      </c>
      <c r="D53" s="29">
        <f>1414507/77549.72*1794.2</f>
        <v>32726.21048019258</v>
      </c>
      <c r="E53" s="27">
        <f>D53/H19/12</f>
        <v>1.5200001151949143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36"/>
      <c r="AQ53" s="40"/>
      <c r="AR53" s="40"/>
    </row>
    <row r="54" spans="1:44" ht="25.5">
      <c r="A54" s="6" t="s">
        <v>44</v>
      </c>
      <c r="B54" s="5" t="s">
        <v>28</v>
      </c>
      <c r="C54" s="15" t="s">
        <v>54</v>
      </c>
      <c r="D54" s="46"/>
      <c r="E54" s="27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36"/>
      <c r="AQ54" s="40"/>
      <c r="AR54" s="40"/>
    </row>
    <row r="55" spans="1:44" ht="38.25">
      <c r="A55" s="6" t="s">
        <v>48</v>
      </c>
      <c r="B55" s="5" t="s">
        <v>49</v>
      </c>
      <c r="C55" s="13" t="s">
        <v>52</v>
      </c>
      <c r="D55" s="46"/>
      <c r="E55" s="27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36"/>
      <c r="AQ55" s="40"/>
      <c r="AR55" s="40"/>
    </row>
    <row r="56" spans="1:44" ht="38.25">
      <c r="A56" s="6" t="s">
        <v>50</v>
      </c>
      <c r="B56" s="5" t="s">
        <v>51</v>
      </c>
      <c r="C56" s="13" t="s">
        <v>52</v>
      </c>
      <c r="D56" s="46"/>
      <c r="E56" s="27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36"/>
      <c r="AQ56" s="40"/>
      <c r="AR56" s="40"/>
    </row>
    <row r="57" spans="4:5" ht="15">
      <c r="D57" s="12"/>
      <c r="E57" s="22"/>
    </row>
    <row r="58" spans="4:5" ht="15">
      <c r="D58" s="12"/>
      <c r="E58" s="22"/>
    </row>
    <row r="59" spans="4:5" ht="15">
      <c r="D59" s="12"/>
      <c r="E59" s="22"/>
    </row>
    <row r="60" spans="4:5" ht="15">
      <c r="D60" s="12"/>
      <c r="E60" s="22"/>
    </row>
    <row r="61" spans="4:5" ht="15">
      <c r="D61" s="12"/>
      <c r="E61" s="22"/>
    </row>
    <row r="62" spans="4:5" ht="15">
      <c r="D62" s="12"/>
      <c r="E62" s="22"/>
    </row>
    <row r="63" spans="4:5" ht="15">
      <c r="D63" s="12"/>
      <c r="E63" s="22"/>
    </row>
    <row r="64" spans="4:5" ht="15">
      <c r="D64" s="12"/>
      <c r="E64" s="22"/>
    </row>
    <row r="65" spans="4:5" ht="15">
      <c r="D65" s="12"/>
      <c r="E65" s="22"/>
    </row>
    <row r="66" spans="4:5" ht="15">
      <c r="D66" s="12"/>
      <c r="E66" s="22"/>
    </row>
    <row r="67" spans="4:5" ht="15">
      <c r="D67" s="12"/>
      <c r="E67" s="22"/>
    </row>
    <row r="68" spans="4:5" ht="15">
      <c r="D68" s="12"/>
      <c r="E68" s="22"/>
    </row>
    <row r="69" spans="4:5" ht="15">
      <c r="D69" s="12"/>
      <c r="E69" s="22"/>
    </row>
    <row r="70" spans="4:5" ht="15">
      <c r="D70" s="12"/>
      <c r="E70" s="22"/>
    </row>
    <row r="71" spans="4:5" ht="15">
      <c r="D71" s="12"/>
      <c r="E71" s="22"/>
    </row>
    <row r="72" spans="4:5" ht="15">
      <c r="D72" s="12"/>
      <c r="E72" s="22"/>
    </row>
    <row r="73" spans="4:5" ht="15">
      <c r="D73" s="12"/>
      <c r="E73" s="22"/>
    </row>
    <row r="74" spans="4:5" ht="15">
      <c r="D74" s="12"/>
      <c r="E74" s="22"/>
    </row>
    <row r="75" spans="4:5" ht="15">
      <c r="D75" s="12"/>
      <c r="E75" s="22"/>
    </row>
    <row r="76" spans="4:5" ht="15">
      <c r="D76" s="12"/>
      <c r="E76" s="22"/>
    </row>
    <row r="77" spans="4:5" ht="15">
      <c r="D77" s="12"/>
      <c r="E77" s="22"/>
    </row>
    <row r="78" spans="4:5" ht="15">
      <c r="D78" s="12"/>
      <c r="E78" s="22"/>
    </row>
    <row r="79" spans="4:5" ht="15">
      <c r="D79" s="12"/>
      <c r="E79" s="22"/>
    </row>
    <row r="80" spans="4:5" ht="15">
      <c r="D80" s="12"/>
      <c r="E80" s="22"/>
    </row>
    <row r="81" spans="4:5" ht="15">
      <c r="D81" s="12"/>
      <c r="E81" s="22"/>
    </row>
    <row r="82" spans="4:5" ht="15">
      <c r="D82" s="12"/>
      <c r="E82" s="22"/>
    </row>
    <row r="83" spans="4:5" ht="15">
      <c r="D83" s="12"/>
      <c r="E83" s="22"/>
    </row>
    <row r="84" spans="4:5" ht="15">
      <c r="D84" s="12"/>
      <c r="E84" s="22"/>
    </row>
    <row r="85" spans="4:5" ht="15">
      <c r="D85" s="12"/>
      <c r="E85" s="22"/>
    </row>
    <row r="86" spans="4:5" ht="15">
      <c r="D86" s="12"/>
      <c r="E86" s="22"/>
    </row>
    <row r="87" spans="4:5" ht="15">
      <c r="D87" s="12"/>
      <c r="E87" s="22"/>
    </row>
    <row r="88" spans="4:5" ht="15">
      <c r="D88" s="12"/>
      <c r="E88" s="22"/>
    </row>
    <row r="89" spans="4:5" ht="15">
      <c r="D89" s="12"/>
      <c r="E89" s="22"/>
    </row>
    <row r="90" spans="4:5" ht="15">
      <c r="D90" s="12"/>
      <c r="E90" s="22"/>
    </row>
    <row r="91" spans="4:5" ht="15">
      <c r="D91" s="12"/>
      <c r="E91" s="22"/>
    </row>
    <row r="92" spans="4:5" ht="15">
      <c r="D92" s="12"/>
      <c r="E92" s="22"/>
    </row>
    <row r="93" spans="4:5" ht="15">
      <c r="D93" s="12"/>
      <c r="E93" s="22"/>
    </row>
    <row r="94" spans="4:5" ht="15">
      <c r="D94" s="12"/>
      <c r="E94" s="22"/>
    </row>
    <row r="95" spans="4:5" ht="15">
      <c r="D95" s="12"/>
      <c r="E95" s="22"/>
    </row>
    <row r="96" spans="4:5" ht="15">
      <c r="D96" s="12"/>
      <c r="E96" s="22"/>
    </row>
    <row r="97" spans="4:5" ht="15">
      <c r="D97" s="12"/>
      <c r="E97" s="22"/>
    </row>
    <row r="98" spans="4:5" ht="15">
      <c r="D98" s="12"/>
      <c r="E98" s="22"/>
    </row>
    <row r="99" spans="4:5" ht="15">
      <c r="D99" s="12"/>
      <c r="E99" s="22"/>
    </row>
    <row r="100" spans="4:5" ht="15">
      <c r="D100" s="12"/>
      <c r="E100" s="22"/>
    </row>
    <row r="101" spans="4:5" ht="15">
      <c r="D101" s="12"/>
      <c r="E101" s="22"/>
    </row>
    <row r="102" spans="4:5" ht="15">
      <c r="D102" s="12"/>
      <c r="E102" s="22"/>
    </row>
    <row r="103" spans="4:5" ht="15">
      <c r="D103" s="12"/>
      <c r="E103" s="22"/>
    </row>
    <row r="104" spans="4:5" ht="15">
      <c r="D104" s="12"/>
      <c r="E104" s="22"/>
    </row>
    <row r="105" spans="4:5" ht="15">
      <c r="D105" s="12"/>
      <c r="E105" s="22"/>
    </row>
    <row r="106" spans="4:5" ht="15">
      <c r="D106" s="12"/>
      <c r="E106" s="22"/>
    </row>
    <row r="107" spans="4:5" ht="15">
      <c r="D107" s="12"/>
      <c r="E107" s="22"/>
    </row>
    <row r="108" spans="4:5" ht="15">
      <c r="D108" s="12"/>
      <c r="E108" s="22"/>
    </row>
    <row r="109" spans="4:5" ht="15">
      <c r="D109" s="12"/>
      <c r="E109" s="22"/>
    </row>
    <row r="110" spans="4:5" ht="15">
      <c r="D110" s="12"/>
      <c r="E110" s="22"/>
    </row>
    <row r="111" spans="4:5" ht="15">
      <c r="D111" s="12"/>
      <c r="E111" s="22"/>
    </row>
    <row r="112" spans="4:5" ht="15">
      <c r="D112" s="12"/>
      <c r="E112" s="22"/>
    </row>
    <row r="113" spans="4:5" ht="15">
      <c r="D113" s="12"/>
      <c r="E113" s="22"/>
    </row>
    <row r="114" spans="4:5" ht="15">
      <c r="D114" s="12"/>
      <c r="E114" s="22"/>
    </row>
    <row r="115" spans="4:5" ht="15">
      <c r="D115" s="12"/>
      <c r="E115" s="22"/>
    </row>
    <row r="116" spans="4:5" ht="15">
      <c r="D116" s="12"/>
      <c r="E116" s="22"/>
    </row>
    <row r="117" spans="4:5" ht="15">
      <c r="D117" s="12"/>
      <c r="E117" s="22"/>
    </row>
    <row r="118" spans="4:5" ht="15">
      <c r="D118" s="12"/>
      <c r="E118" s="22"/>
    </row>
    <row r="119" spans="4:5" ht="15">
      <c r="D119" s="12"/>
      <c r="E119" s="22"/>
    </row>
    <row r="120" spans="4:5" ht="15">
      <c r="D120" s="12"/>
      <c r="E120" s="22"/>
    </row>
    <row r="121" spans="4:5" ht="15">
      <c r="D121" s="12"/>
      <c r="E121" s="22"/>
    </row>
    <row r="122" spans="4:5" ht="15">
      <c r="D122" s="12"/>
      <c r="E122" s="22"/>
    </row>
    <row r="123" spans="4:5" ht="15">
      <c r="D123" s="12"/>
      <c r="E123" s="22"/>
    </row>
    <row r="124" spans="4:5" ht="15">
      <c r="D124" s="12"/>
      <c r="E124" s="22"/>
    </row>
    <row r="125" spans="4:5" ht="15">
      <c r="D125" s="12"/>
      <c r="E125" s="22"/>
    </row>
    <row r="126" spans="4:5" ht="15">
      <c r="D126" s="12"/>
      <c r="E126" s="22"/>
    </row>
    <row r="127" spans="4:5" ht="15">
      <c r="D127" s="12"/>
      <c r="E127" s="22"/>
    </row>
    <row r="128" spans="4:5" ht="15">
      <c r="D128" s="12"/>
      <c r="E128" s="22"/>
    </row>
    <row r="129" spans="4:5" ht="15">
      <c r="D129" s="12"/>
      <c r="E129" s="22"/>
    </row>
    <row r="130" spans="4:5" ht="15">
      <c r="D130" s="12"/>
      <c r="E130" s="22"/>
    </row>
  </sheetData>
  <sheetProtection/>
  <mergeCells count="16">
    <mergeCell ref="A14:F14"/>
    <mergeCell ref="A15:F15"/>
    <mergeCell ref="A21:A22"/>
    <mergeCell ref="B21:B22"/>
    <mergeCell ref="D21:D22"/>
    <mergeCell ref="E21:E22"/>
    <mergeCell ref="A16:F16"/>
    <mergeCell ref="A17:F17"/>
    <mergeCell ref="A8:B8"/>
    <mergeCell ref="E8:F8"/>
    <mergeCell ref="A9:B9"/>
    <mergeCell ref="D9:F9"/>
    <mergeCell ref="A10:B10"/>
    <mergeCell ref="D10:F10"/>
    <mergeCell ref="A11:B11"/>
    <mergeCell ref="A12:B12"/>
  </mergeCells>
  <printOptions/>
  <pageMargins left="1.1811023622047245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R130"/>
  <sheetViews>
    <sheetView zoomScalePageLayoutView="0" workbookViewId="0" topLeftCell="A47">
      <selection activeCell="A14" sqref="A14:F16"/>
    </sheetView>
  </sheetViews>
  <sheetFormatPr defaultColWidth="9.140625" defaultRowHeight="15"/>
  <cols>
    <col min="1" max="1" width="5.8515625" style="4" customWidth="1"/>
    <col min="2" max="2" width="38.00390625" style="4" customWidth="1"/>
    <col min="3" max="3" width="17.7109375" style="4" hidden="1" customWidth="1"/>
    <col min="4" max="4" width="14.28125" style="4" customWidth="1"/>
    <col min="5" max="5" width="24.8515625" style="19" customWidth="1"/>
    <col min="6" max="6" width="0.13671875" style="30" customWidth="1"/>
    <col min="7" max="7" width="10.57421875" style="31" customWidth="1"/>
    <col min="8" max="8" width="10.421875" style="31" customWidth="1"/>
    <col min="9" max="9" width="10.00390625" style="31" customWidth="1"/>
    <col min="10" max="10" width="9.8515625" style="31" customWidth="1"/>
    <col min="11" max="11" width="9.28125" style="31" customWidth="1"/>
    <col min="12" max="14" width="9.8515625" style="31" customWidth="1"/>
    <col min="15" max="23" width="9.8515625" style="31" hidden="1" customWidth="1"/>
    <col min="24" max="39" width="9.8515625" style="31" customWidth="1"/>
    <col min="40" max="40" width="11.421875" style="31" customWidth="1"/>
    <col min="41" max="41" width="11.00390625" style="31" customWidth="1"/>
    <col min="42" max="42" width="11.140625" style="31" customWidth="1"/>
    <col min="43" max="44" width="9.140625" style="31" customWidth="1"/>
    <col min="45" max="16384" width="9.140625" style="4" customWidth="1"/>
  </cols>
  <sheetData>
    <row r="1" spans="1:5" ht="15.75" hidden="1">
      <c r="A1" s="1" t="s">
        <v>0</v>
      </c>
      <c r="E1" s="18" t="s">
        <v>9</v>
      </c>
    </row>
    <row r="2" spans="1:5" ht="15.75" hidden="1">
      <c r="A2" s="1" t="s">
        <v>1</v>
      </c>
      <c r="E2" s="18" t="s">
        <v>11</v>
      </c>
    </row>
    <row r="3" spans="1:5" ht="15.75" hidden="1">
      <c r="A3" s="1" t="s">
        <v>2</v>
      </c>
      <c r="E3" s="18" t="s">
        <v>10</v>
      </c>
    </row>
    <row r="4" ht="15.75" hidden="1">
      <c r="A4" s="1" t="s">
        <v>3</v>
      </c>
    </row>
    <row r="5" ht="15" hidden="1"/>
    <row r="6" spans="1:5" ht="93.75" hidden="1">
      <c r="A6" s="2" t="s">
        <v>12</v>
      </c>
      <c r="B6" s="3"/>
      <c r="C6" s="3"/>
      <c r="D6" s="3"/>
      <c r="E6" s="20"/>
    </row>
    <row r="7" spans="1:5" ht="15" hidden="1">
      <c r="A7" s="3" t="s">
        <v>53</v>
      </c>
      <c r="B7" s="3"/>
      <c r="C7" s="3"/>
      <c r="D7" s="3"/>
      <c r="E7" s="21"/>
    </row>
    <row r="8" spans="1:6" ht="15.75" customHeight="1">
      <c r="A8" s="60" t="s">
        <v>0</v>
      </c>
      <c r="B8" s="61"/>
      <c r="C8" s="52"/>
      <c r="D8" s="53"/>
      <c r="E8" s="62" t="s">
        <v>9</v>
      </c>
      <c r="F8" s="63"/>
    </row>
    <row r="9" spans="1:6" ht="15">
      <c r="A9" s="61" t="s">
        <v>83</v>
      </c>
      <c r="B9" s="61"/>
      <c r="C9" s="52"/>
      <c r="D9" s="64" t="s">
        <v>117</v>
      </c>
      <c r="E9" s="63"/>
      <c r="F9" s="63"/>
    </row>
    <row r="10" spans="1:6" ht="15">
      <c r="A10" s="61" t="s">
        <v>84</v>
      </c>
      <c r="B10" s="61"/>
      <c r="C10" s="52"/>
      <c r="D10" s="64" t="s">
        <v>118</v>
      </c>
      <c r="E10" s="63"/>
      <c r="F10" s="63"/>
    </row>
    <row r="11" spans="1:5" ht="15">
      <c r="A11" s="61" t="s">
        <v>2</v>
      </c>
      <c r="B11" s="61"/>
      <c r="C11" s="52"/>
      <c r="D11" s="52"/>
      <c r="E11" s="21"/>
    </row>
    <row r="12" spans="1:5" ht="15" customHeight="1">
      <c r="A12" s="61" t="s">
        <v>147</v>
      </c>
      <c r="B12" s="61"/>
      <c r="C12" s="52"/>
      <c r="D12" s="52"/>
      <c r="E12" s="21"/>
    </row>
    <row r="13" spans="1:5" ht="15">
      <c r="A13" s="54"/>
      <c r="B13" s="54"/>
      <c r="C13" s="52"/>
      <c r="D13" s="52"/>
      <c r="E13" s="21"/>
    </row>
    <row r="14" spans="1:6" ht="15">
      <c r="A14" s="82" t="s">
        <v>86</v>
      </c>
      <c r="B14" s="82"/>
      <c r="C14" s="82"/>
      <c r="D14" s="82"/>
      <c r="E14" s="82"/>
      <c r="F14" s="82"/>
    </row>
    <row r="15" spans="1:6" ht="15">
      <c r="A15" s="82" t="s">
        <v>87</v>
      </c>
      <c r="B15" s="82"/>
      <c r="C15" s="82"/>
      <c r="D15" s="82"/>
      <c r="E15" s="82"/>
      <c r="F15" s="82"/>
    </row>
    <row r="16" spans="1:6" ht="15">
      <c r="A16" s="82" t="s">
        <v>88</v>
      </c>
      <c r="B16" s="82"/>
      <c r="C16" s="82"/>
      <c r="D16" s="82"/>
      <c r="E16" s="82"/>
      <c r="F16" s="82"/>
    </row>
    <row r="17" spans="1:6" ht="15">
      <c r="A17" s="80" t="s">
        <v>99</v>
      </c>
      <c r="B17" s="81"/>
      <c r="C17" s="81"/>
      <c r="D17" s="81"/>
      <c r="E17" s="81"/>
      <c r="F17" s="81"/>
    </row>
    <row r="18" spans="1:5" ht="15">
      <c r="A18" s="3"/>
      <c r="B18" s="3"/>
      <c r="C18" s="3"/>
      <c r="D18" s="3"/>
      <c r="E18" s="55"/>
    </row>
    <row r="19" spans="1:9" ht="28.5">
      <c r="A19" s="10" t="s">
        <v>47</v>
      </c>
      <c r="B19" s="3"/>
      <c r="C19" s="3"/>
      <c r="D19" s="3"/>
      <c r="E19" s="48"/>
      <c r="H19" s="51">
        <v>2670.79</v>
      </c>
      <c r="I19" s="31">
        <v>77549.72</v>
      </c>
    </row>
    <row r="20" ht="15">
      <c r="D20" s="16"/>
    </row>
    <row r="21" spans="1:42" ht="42" customHeight="1">
      <c r="A21" s="74" t="s">
        <v>8</v>
      </c>
      <c r="B21" s="74" t="s">
        <v>4</v>
      </c>
      <c r="C21" s="28" t="s">
        <v>5</v>
      </c>
      <c r="D21" s="75" t="s">
        <v>6</v>
      </c>
      <c r="E21" s="77" t="s">
        <v>7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3"/>
    </row>
    <row r="22" spans="1:42" ht="14.25" customHeight="1">
      <c r="A22" s="74"/>
      <c r="B22" s="74"/>
      <c r="C22" s="28"/>
      <c r="D22" s="76"/>
      <c r="E22" s="77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6"/>
    </row>
    <row r="23" spans="1:44" s="11" customFormat="1" ht="51">
      <c r="A23" s="23">
        <v>1</v>
      </c>
      <c r="B23" s="24" t="s">
        <v>13</v>
      </c>
      <c r="C23" s="25"/>
      <c r="D23" s="44">
        <f>D24+D25+D54+D55</f>
        <v>1255856.7268834754</v>
      </c>
      <c r="E23" s="50">
        <f>E24+E25+E54+E55</f>
        <v>39.18493301243812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6"/>
      <c r="AQ23" s="38"/>
      <c r="AR23" s="38"/>
    </row>
    <row r="24" spans="1:44" ht="51.75" customHeight="1">
      <c r="A24" s="8">
        <v>2</v>
      </c>
      <c r="B24" s="5" t="s">
        <v>45</v>
      </c>
      <c r="C24" s="13" t="s">
        <v>54</v>
      </c>
      <c r="D24" s="45">
        <f>1905742/77549.72*2670.79</f>
        <v>65633.20507385455</v>
      </c>
      <c r="E24" s="26">
        <f>D24/H19/12</f>
        <v>2.0478711378111143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6"/>
      <c r="AQ24" s="40"/>
      <c r="AR24" s="40"/>
    </row>
    <row r="25" spans="1:44" ht="25.5">
      <c r="A25" s="8">
        <v>3</v>
      </c>
      <c r="B25" s="5" t="s">
        <v>29</v>
      </c>
      <c r="C25" s="13"/>
      <c r="D25" s="45">
        <f>D26+D27+D28+D29+D30+D31+D32+D33+D34+D35+D36+D37+D38+D39+D40+D41+D42+D43+D44+D45+D46+D47+D48+D49+D50+D51+D52+D53+D54+D55+D56</f>
        <v>1190223.5218096208</v>
      </c>
      <c r="E25" s="26">
        <f>SUM(E26:E56)</f>
        <v>37.13706187462701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0"/>
      <c r="AR25" s="40"/>
    </row>
    <row r="26" spans="1:44" ht="25.5">
      <c r="A26" s="9">
        <v>3.1</v>
      </c>
      <c r="B26" s="5" t="s">
        <v>14</v>
      </c>
      <c r="C26" s="13"/>
      <c r="D26" s="46"/>
      <c r="E26" s="27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6"/>
      <c r="AQ26" s="40"/>
      <c r="AR26" s="40"/>
    </row>
    <row r="27" spans="1:44" ht="24">
      <c r="A27" s="6">
        <v>3.2</v>
      </c>
      <c r="B27" s="5" t="s">
        <v>15</v>
      </c>
      <c r="C27" s="13" t="s">
        <v>57</v>
      </c>
      <c r="D27" s="46">
        <f>353626/77549.72*2670.79</f>
        <v>12178.77749320049</v>
      </c>
      <c r="E27" s="27">
        <f>D27/H19/12</f>
        <v>0.3799992228641616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36"/>
      <c r="AQ27" s="40"/>
      <c r="AR27" s="40"/>
    </row>
    <row r="28" spans="1:44" ht="25.5">
      <c r="A28" s="9">
        <v>3.3</v>
      </c>
      <c r="B28" s="5" t="s">
        <v>16</v>
      </c>
      <c r="C28" s="13" t="s">
        <v>59</v>
      </c>
      <c r="D28" s="46">
        <f>158201/77549.72*2670.79</f>
        <v>5448.396832251618</v>
      </c>
      <c r="E28" s="27">
        <f>D28/H19/12</f>
        <v>0.1699995392203436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36"/>
      <c r="AQ28" s="40"/>
      <c r="AR28" s="40"/>
    </row>
    <row r="29" spans="1:44" ht="34.5" customHeight="1">
      <c r="A29" s="6" t="s">
        <v>68</v>
      </c>
      <c r="B29" s="5" t="s">
        <v>17</v>
      </c>
      <c r="C29" s="13" t="s">
        <v>56</v>
      </c>
      <c r="D29" s="46"/>
      <c r="E29" s="27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6"/>
      <c r="AQ29" s="40"/>
      <c r="AR29" s="40"/>
    </row>
    <row r="30" spans="1:44" ht="34.5" customHeight="1">
      <c r="A30" s="6" t="s">
        <v>69</v>
      </c>
      <c r="B30" s="5" t="s">
        <v>70</v>
      </c>
      <c r="C30" s="13"/>
      <c r="D30" s="46"/>
      <c r="E30" s="27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6"/>
      <c r="AQ30" s="40"/>
      <c r="AR30" s="40"/>
    </row>
    <row r="31" spans="1:44" ht="41.25" customHeight="1">
      <c r="A31" s="6" t="s">
        <v>71</v>
      </c>
      <c r="B31" s="5" t="s">
        <v>72</v>
      </c>
      <c r="C31" s="13"/>
      <c r="D31" s="46"/>
      <c r="E31" s="27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6"/>
      <c r="AQ31" s="40"/>
      <c r="AR31" s="40"/>
    </row>
    <row r="32" spans="1:44" ht="25.5">
      <c r="A32" s="9">
        <v>3.7</v>
      </c>
      <c r="B32" s="5" t="s">
        <v>18</v>
      </c>
      <c r="C32" s="13" t="s">
        <v>57</v>
      </c>
      <c r="D32" s="46">
        <f>2345097/77549.72*2670.79</f>
        <v>80764.46461225134</v>
      </c>
      <c r="E32" s="27">
        <f>D32/H19/12</f>
        <v>2.5199929799875487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36"/>
      <c r="AQ32" s="40"/>
      <c r="AR32" s="40"/>
    </row>
    <row r="33" spans="1:44" ht="25.5">
      <c r="A33" s="6">
        <v>3.8</v>
      </c>
      <c r="B33" s="5" t="s">
        <v>64</v>
      </c>
      <c r="C33" s="13" t="s">
        <v>57</v>
      </c>
      <c r="D33" s="46">
        <f>651416/77549.72*2670.79</f>
        <v>22434.5792433551</v>
      </c>
      <c r="E33" s="27">
        <f>D33/H19/12</f>
        <v>0.6999982290931116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36"/>
      <c r="AQ33" s="40"/>
      <c r="AR33" s="40"/>
    </row>
    <row r="34" spans="1:44" ht="25.5">
      <c r="A34" s="9">
        <v>3.9</v>
      </c>
      <c r="B34" s="5" t="s">
        <v>19</v>
      </c>
      <c r="C34" s="13" t="s">
        <v>57</v>
      </c>
      <c r="D34" s="46">
        <f>697946/77549.72*2670.79</f>
        <v>24037.059029226668</v>
      </c>
      <c r="E34" s="27">
        <f>D34/H19/12</f>
        <v>0.7499984096224547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36"/>
      <c r="AQ34" s="40"/>
      <c r="AR34" s="40"/>
    </row>
    <row r="35" spans="1:44" ht="25.5">
      <c r="A35" s="6" t="s">
        <v>30</v>
      </c>
      <c r="B35" s="5" t="s">
        <v>65</v>
      </c>
      <c r="C35" s="13" t="s">
        <v>57</v>
      </c>
      <c r="D35" s="46"/>
      <c r="E35" s="27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36"/>
      <c r="AQ35" s="40"/>
      <c r="AR35" s="40"/>
    </row>
    <row r="36" spans="1:44" ht="25.5">
      <c r="A36" s="6" t="s">
        <v>31</v>
      </c>
      <c r="B36" s="5" t="s">
        <v>66</v>
      </c>
      <c r="C36" s="13"/>
      <c r="D36" s="46"/>
      <c r="E36" s="27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36"/>
      <c r="AQ36" s="40"/>
      <c r="AR36" s="40"/>
    </row>
    <row r="37" spans="1:44" ht="40.5" customHeight="1">
      <c r="A37" s="6" t="s">
        <v>32</v>
      </c>
      <c r="B37" s="5" t="s">
        <v>20</v>
      </c>
      <c r="C37" s="13"/>
      <c r="D37" s="46"/>
      <c r="E37" s="27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36"/>
      <c r="AQ37" s="40"/>
      <c r="AR37" s="40"/>
    </row>
    <row r="38" spans="1:44" ht="51">
      <c r="A38" s="6" t="s">
        <v>33</v>
      </c>
      <c r="B38" s="5" t="s">
        <v>21</v>
      </c>
      <c r="C38" s="13" t="s">
        <v>58</v>
      </c>
      <c r="D38" s="46">
        <f>2373015/77549.72*2670.79</f>
        <v>81725.95248377428</v>
      </c>
      <c r="E38" s="27">
        <f>D38/H19/12</f>
        <v>2.5499930883051545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36"/>
      <c r="AQ38" s="40"/>
      <c r="AR38" s="40"/>
    </row>
    <row r="39" spans="1:44" ht="33" customHeight="1">
      <c r="A39" s="6" t="s">
        <v>34</v>
      </c>
      <c r="B39" s="5" t="s">
        <v>73</v>
      </c>
      <c r="C39" s="13"/>
      <c r="D39" s="46"/>
      <c r="E39" s="27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36"/>
      <c r="AQ39" s="40"/>
      <c r="AR39" s="40"/>
    </row>
    <row r="40" spans="1:44" ht="41.25" customHeight="1">
      <c r="A40" s="6" t="s">
        <v>35</v>
      </c>
      <c r="B40" s="5" t="s">
        <v>22</v>
      </c>
      <c r="C40" s="13"/>
      <c r="D40" s="46"/>
      <c r="E40" s="27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36"/>
      <c r="AQ40" s="40"/>
      <c r="AR40" s="40"/>
    </row>
    <row r="41" spans="1:44" ht="41.25" customHeight="1">
      <c r="A41" s="6" t="s">
        <v>36</v>
      </c>
      <c r="B41" s="5" t="s">
        <v>74</v>
      </c>
      <c r="C41" s="13"/>
      <c r="D41" s="46"/>
      <c r="E41" s="27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36"/>
      <c r="AQ41" s="40"/>
      <c r="AR41" s="40"/>
    </row>
    <row r="42" spans="1:44" ht="40.5" customHeight="1">
      <c r="A42" s="6" t="s">
        <v>37</v>
      </c>
      <c r="B42" s="5" t="s">
        <v>75</v>
      </c>
      <c r="C42" s="13" t="s">
        <v>54</v>
      </c>
      <c r="D42" s="47">
        <f>2696000/77549.72*2670.79</f>
        <v>92849.4627704652</v>
      </c>
      <c r="E42" s="27">
        <f>D42/H19/12</f>
        <v>2.8970661230842185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36"/>
      <c r="AQ42" s="40"/>
      <c r="AR42" s="40"/>
    </row>
    <row r="43" spans="1:44" ht="51">
      <c r="A43" s="6" t="s">
        <v>38</v>
      </c>
      <c r="B43" s="5" t="s">
        <v>67</v>
      </c>
      <c r="C43" s="13"/>
      <c r="D43" s="46"/>
      <c r="E43" s="27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36"/>
      <c r="AQ43" s="40"/>
      <c r="AR43" s="40"/>
    </row>
    <row r="44" spans="1:44" ht="40.5" customHeight="1">
      <c r="A44" s="6" t="s">
        <v>39</v>
      </c>
      <c r="B44" s="5" t="s">
        <v>76</v>
      </c>
      <c r="C44" s="13"/>
      <c r="D44" s="46"/>
      <c r="E44" s="27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36"/>
      <c r="AQ44" s="40"/>
      <c r="AR44" s="40"/>
    </row>
    <row r="45" spans="1:44" ht="39" customHeight="1">
      <c r="A45" s="6" t="s">
        <v>40</v>
      </c>
      <c r="B45" s="5" t="s">
        <v>77</v>
      </c>
      <c r="C45" s="13" t="s">
        <v>54</v>
      </c>
      <c r="D45" s="29">
        <f>1448000/77549.72*2670.79</f>
        <v>49868.702556243916</v>
      </c>
      <c r="E45" s="27">
        <f>D45/H19/12</f>
        <v>1.5559910037930074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36"/>
      <c r="AQ45" s="40"/>
      <c r="AR45" s="40"/>
    </row>
    <row r="46" spans="1:44" ht="39" customHeight="1">
      <c r="A46" s="6" t="s">
        <v>41</v>
      </c>
      <c r="B46" s="5" t="s">
        <v>78</v>
      </c>
      <c r="C46" s="13"/>
      <c r="D46" s="29"/>
      <c r="E46" s="27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36"/>
      <c r="AQ46" s="40"/>
      <c r="AR46" s="40"/>
    </row>
    <row r="47" spans="1:44" ht="25.5">
      <c r="A47" s="6" t="s">
        <v>42</v>
      </c>
      <c r="B47" s="5" t="s">
        <v>62</v>
      </c>
      <c r="C47" s="13" t="s">
        <v>54</v>
      </c>
      <c r="D47" s="46"/>
      <c r="E47" s="27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36"/>
      <c r="AQ47" s="40"/>
      <c r="AR47" s="40"/>
    </row>
    <row r="48" spans="1:44" ht="25.5">
      <c r="A48" s="6" t="s">
        <v>43</v>
      </c>
      <c r="B48" s="7" t="s">
        <v>63</v>
      </c>
      <c r="C48" s="13" t="s">
        <v>54</v>
      </c>
      <c r="D48" s="46">
        <f>13972201/77549.72*2670.79</f>
        <v>481198.57439575536</v>
      </c>
      <c r="E48" s="27">
        <f>D48/H19/12</f>
        <v>15.014239681759435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36"/>
      <c r="AQ48" s="40"/>
      <c r="AR48" s="40"/>
    </row>
    <row r="49" spans="1:44" ht="25.5">
      <c r="A49" s="6" t="s">
        <v>46</v>
      </c>
      <c r="B49" s="5" t="s">
        <v>23</v>
      </c>
      <c r="C49" s="13" t="s">
        <v>60</v>
      </c>
      <c r="D49" s="46">
        <f>465297/77549.72*2670.79</f>
        <v>16024.694539580541</v>
      </c>
      <c r="E49" s="27">
        <f>D49/H19/12</f>
        <v>0.49999858155516225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36"/>
      <c r="AQ49" s="40"/>
      <c r="AR49" s="40"/>
    </row>
    <row r="50" spans="1:44" ht="25.5">
      <c r="A50" s="6" t="s">
        <v>79</v>
      </c>
      <c r="B50" s="5" t="s">
        <v>24</v>
      </c>
      <c r="C50" s="13" t="s">
        <v>61</v>
      </c>
      <c r="D50" s="46">
        <f>5667319/77549.72*2670.79</f>
        <v>195180.83252924704</v>
      </c>
      <c r="E50" s="27">
        <f>D50/H19/12</f>
        <v>6.089984378194187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36"/>
      <c r="AQ50" s="40"/>
      <c r="AR50" s="40"/>
    </row>
    <row r="51" spans="1:44" ht="38.25">
      <c r="A51" s="6" t="s">
        <v>80</v>
      </c>
      <c r="B51" s="5" t="s">
        <v>25</v>
      </c>
      <c r="C51" s="17" t="s">
        <v>55</v>
      </c>
      <c r="D51" s="29">
        <f>2308000/77549.72*2670.79</f>
        <v>79486.85462694126</v>
      </c>
      <c r="E51" s="27">
        <f>D51/H19/12</f>
        <v>2.4801293071507327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36"/>
      <c r="AQ51" s="40"/>
      <c r="AR51" s="40"/>
    </row>
    <row r="52" spans="1:44" ht="25.5">
      <c r="A52" s="6" t="s">
        <v>81</v>
      </c>
      <c r="B52" s="5" t="s">
        <v>26</v>
      </c>
      <c r="C52" s="13" t="s">
        <v>54</v>
      </c>
      <c r="D52" s="29">
        <f>9000/77549.72*2670.79</f>
        <v>309.9574053910188</v>
      </c>
      <c r="E52" s="27">
        <f>D52/H19/12</f>
        <v>0.009671214802580848</v>
      </c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36"/>
      <c r="AQ52" s="40"/>
      <c r="AR52" s="40"/>
    </row>
    <row r="53" spans="1:44" ht="38.25">
      <c r="A53" s="6" t="s">
        <v>82</v>
      </c>
      <c r="B53" s="5" t="s">
        <v>27</v>
      </c>
      <c r="C53" s="14" t="s">
        <v>54</v>
      </c>
      <c r="D53" s="29">
        <f>1414507/77549.72*2670.79</f>
        <v>48715.2132919371</v>
      </c>
      <c r="E53" s="27">
        <f>D53/H19/12</f>
        <v>1.5200001151949143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36"/>
      <c r="AQ53" s="40"/>
      <c r="AR53" s="40"/>
    </row>
    <row r="54" spans="1:44" ht="25.5">
      <c r="A54" s="6" t="s">
        <v>44</v>
      </c>
      <c r="B54" s="5" t="s">
        <v>28</v>
      </c>
      <c r="C54" s="15" t="s">
        <v>54</v>
      </c>
      <c r="D54" s="46"/>
      <c r="E54" s="27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36"/>
      <c r="AQ54" s="40"/>
      <c r="AR54" s="40"/>
    </row>
    <row r="55" spans="1:44" ht="38.25">
      <c r="A55" s="6" t="s">
        <v>48</v>
      </c>
      <c r="B55" s="5" t="s">
        <v>49</v>
      </c>
      <c r="C55" s="13" t="s">
        <v>52</v>
      </c>
      <c r="D55" s="46"/>
      <c r="E55" s="27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36"/>
      <c r="AQ55" s="40"/>
      <c r="AR55" s="40"/>
    </row>
    <row r="56" spans="1:44" ht="38.25">
      <c r="A56" s="6" t="s">
        <v>50</v>
      </c>
      <c r="B56" s="5" t="s">
        <v>51</v>
      </c>
      <c r="C56" s="13" t="s">
        <v>52</v>
      </c>
      <c r="D56" s="46"/>
      <c r="E56" s="27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36"/>
      <c r="AQ56" s="40"/>
      <c r="AR56" s="40"/>
    </row>
    <row r="57" spans="4:5" ht="15">
      <c r="D57" s="12"/>
      <c r="E57" s="22"/>
    </row>
    <row r="58" spans="4:5" ht="15">
      <c r="D58" s="12"/>
      <c r="E58" s="22"/>
    </row>
    <row r="59" spans="4:5" ht="15">
      <c r="D59" s="12"/>
      <c r="E59" s="22"/>
    </row>
    <row r="60" spans="4:5" ht="15">
      <c r="D60" s="12"/>
      <c r="E60" s="22"/>
    </row>
    <row r="61" spans="4:5" ht="15">
      <c r="D61" s="12"/>
      <c r="E61" s="22"/>
    </row>
    <row r="62" spans="4:5" ht="15">
      <c r="D62" s="12"/>
      <c r="E62" s="22"/>
    </row>
    <row r="63" spans="4:5" ht="15">
      <c r="D63" s="12"/>
      <c r="E63" s="22"/>
    </row>
    <row r="64" spans="4:5" ht="15">
      <c r="D64" s="12"/>
      <c r="E64" s="22"/>
    </row>
    <row r="65" spans="4:5" ht="15">
      <c r="D65" s="12"/>
      <c r="E65" s="22"/>
    </row>
    <row r="66" spans="4:5" ht="15">
      <c r="D66" s="12"/>
      <c r="E66" s="22"/>
    </row>
    <row r="67" spans="4:5" ht="15">
      <c r="D67" s="12"/>
      <c r="E67" s="22"/>
    </row>
    <row r="68" spans="4:5" ht="15">
      <c r="D68" s="12"/>
      <c r="E68" s="22"/>
    </row>
    <row r="69" spans="4:5" ht="15">
      <c r="D69" s="12"/>
      <c r="E69" s="22"/>
    </row>
    <row r="70" spans="4:5" ht="15">
      <c r="D70" s="12"/>
      <c r="E70" s="22"/>
    </row>
    <row r="71" spans="4:5" ht="15">
      <c r="D71" s="12"/>
      <c r="E71" s="22"/>
    </row>
    <row r="72" spans="4:5" ht="15">
      <c r="D72" s="12"/>
      <c r="E72" s="22"/>
    </row>
    <row r="73" spans="4:5" ht="15">
      <c r="D73" s="12"/>
      <c r="E73" s="22"/>
    </row>
    <row r="74" spans="4:5" ht="15">
      <c r="D74" s="12"/>
      <c r="E74" s="22"/>
    </row>
    <row r="75" spans="4:5" ht="15">
      <c r="D75" s="12"/>
      <c r="E75" s="22"/>
    </row>
    <row r="76" spans="4:5" ht="15">
      <c r="D76" s="12"/>
      <c r="E76" s="22"/>
    </row>
    <row r="77" spans="4:5" ht="15">
      <c r="D77" s="12"/>
      <c r="E77" s="22"/>
    </row>
    <row r="78" spans="4:5" ht="15">
      <c r="D78" s="12"/>
      <c r="E78" s="22"/>
    </row>
    <row r="79" spans="4:5" ht="15">
      <c r="D79" s="12"/>
      <c r="E79" s="22"/>
    </row>
    <row r="80" spans="4:5" ht="15">
      <c r="D80" s="12"/>
      <c r="E80" s="22"/>
    </row>
    <row r="81" spans="4:5" ht="15">
      <c r="D81" s="12"/>
      <c r="E81" s="22"/>
    </row>
    <row r="82" spans="4:5" ht="15">
      <c r="D82" s="12"/>
      <c r="E82" s="22"/>
    </row>
    <row r="83" spans="4:5" ht="15">
      <c r="D83" s="12"/>
      <c r="E83" s="22"/>
    </row>
    <row r="84" spans="4:5" ht="15">
      <c r="D84" s="12"/>
      <c r="E84" s="22"/>
    </row>
    <row r="85" spans="4:5" ht="15">
      <c r="D85" s="12"/>
      <c r="E85" s="22"/>
    </row>
    <row r="86" spans="4:5" ht="15">
      <c r="D86" s="12"/>
      <c r="E86" s="22"/>
    </row>
    <row r="87" spans="4:5" ht="15">
      <c r="D87" s="12"/>
      <c r="E87" s="22"/>
    </row>
    <row r="88" spans="4:5" ht="15">
      <c r="D88" s="12"/>
      <c r="E88" s="22"/>
    </row>
    <row r="89" spans="4:5" ht="15">
      <c r="D89" s="12"/>
      <c r="E89" s="22"/>
    </row>
    <row r="90" spans="4:5" ht="15">
      <c r="D90" s="12"/>
      <c r="E90" s="22"/>
    </row>
    <row r="91" spans="4:5" ht="15">
      <c r="D91" s="12"/>
      <c r="E91" s="22"/>
    </row>
    <row r="92" spans="4:5" ht="15">
      <c r="D92" s="12"/>
      <c r="E92" s="22"/>
    </row>
    <row r="93" spans="4:5" ht="15">
      <c r="D93" s="12"/>
      <c r="E93" s="22"/>
    </row>
    <row r="94" spans="4:5" ht="15">
      <c r="D94" s="12"/>
      <c r="E94" s="22"/>
    </row>
    <row r="95" spans="4:5" ht="15">
      <c r="D95" s="12"/>
      <c r="E95" s="22"/>
    </row>
    <row r="96" spans="4:5" ht="15">
      <c r="D96" s="12"/>
      <c r="E96" s="22"/>
    </row>
    <row r="97" spans="4:5" ht="15">
      <c r="D97" s="12"/>
      <c r="E97" s="22"/>
    </row>
    <row r="98" spans="4:5" ht="15">
      <c r="D98" s="12"/>
      <c r="E98" s="22"/>
    </row>
    <row r="99" spans="4:5" ht="15">
      <c r="D99" s="12"/>
      <c r="E99" s="22"/>
    </row>
    <row r="100" spans="4:5" ht="15">
      <c r="D100" s="12"/>
      <c r="E100" s="22"/>
    </row>
    <row r="101" spans="4:5" ht="15">
      <c r="D101" s="12"/>
      <c r="E101" s="22"/>
    </row>
    <row r="102" spans="4:5" ht="15">
      <c r="D102" s="12"/>
      <c r="E102" s="22"/>
    </row>
    <row r="103" spans="4:5" ht="15">
      <c r="D103" s="12"/>
      <c r="E103" s="22"/>
    </row>
    <row r="104" spans="4:5" ht="15">
      <c r="D104" s="12"/>
      <c r="E104" s="22"/>
    </row>
    <row r="105" spans="4:5" ht="15">
      <c r="D105" s="12"/>
      <c r="E105" s="22"/>
    </row>
    <row r="106" spans="4:5" ht="15">
      <c r="D106" s="12"/>
      <c r="E106" s="22"/>
    </row>
    <row r="107" spans="4:5" ht="15">
      <c r="D107" s="12"/>
      <c r="E107" s="22"/>
    </row>
    <row r="108" spans="4:5" ht="15">
      <c r="D108" s="12"/>
      <c r="E108" s="22"/>
    </row>
    <row r="109" spans="4:5" ht="15">
      <c r="D109" s="12"/>
      <c r="E109" s="22"/>
    </row>
    <row r="110" spans="4:5" ht="15">
      <c r="D110" s="12"/>
      <c r="E110" s="22"/>
    </row>
    <row r="111" spans="4:5" ht="15">
      <c r="D111" s="12"/>
      <c r="E111" s="22"/>
    </row>
    <row r="112" spans="4:5" ht="15">
      <c r="D112" s="12"/>
      <c r="E112" s="22"/>
    </row>
    <row r="113" spans="4:5" ht="15">
      <c r="D113" s="12"/>
      <c r="E113" s="22"/>
    </row>
    <row r="114" spans="4:5" ht="15">
      <c r="D114" s="12"/>
      <c r="E114" s="22"/>
    </row>
    <row r="115" spans="4:5" ht="15">
      <c r="D115" s="12"/>
      <c r="E115" s="22"/>
    </row>
    <row r="116" spans="4:5" ht="15">
      <c r="D116" s="12"/>
      <c r="E116" s="22"/>
    </row>
    <row r="117" spans="4:5" ht="15">
      <c r="D117" s="12"/>
      <c r="E117" s="22"/>
    </row>
    <row r="118" spans="4:5" ht="15">
      <c r="D118" s="12"/>
      <c r="E118" s="22"/>
    </row>
    <row r="119" spans="4:5" ht="15">
      <c r="D119" s="12"/>
      <c r="E119" s="22"/>
    </row>
    <row r="120" spans="4:5" ht="15">
      <c r="D120" s="12"/>
      <c r="E120" s="22"/>
    </row>
    <row r="121" spans="4:5" ht="15">
      <c r="D121" s="12"/>
      <c r="E121" s="22"/>
    </row>
    <row r="122" spans="4:5" ht="15">
      <c r="D122" s="12"/>
      <c r="E122" s="22"/>
    </row>
    <row r="123" spans="4:5" ht="15">
      <c r="D123" s="12"/>
      <c r="E123" s="22"/>
    </row>
    <row r="124" spans="4:5" ht="15">
      <c r="D124" s="12"/>
      <c r="E124" s="22"/>
    </row>
    <row r="125" spans="4:5" ht="15">
      <c r="D125" s="12"/>
      <c r="E125" s="22"/>
    </row>
    <row r="126" spans="4:5" ht="15">
      <c r="D126" s="12"/>
      <c r="E126" s="22"/>
    </row>
    <row r="127" spans="4:5" ht="15">
      <c r="D127" s="12"/>
      <c r="E127" s="22"/>
    </row>
    <row r="128" spans="4:5" ht="15">
      <c r="D128" s="12"/>
      <c r="E128" s="22"/>
    </row>
    <row r="129" spans="4:5" ht="15">
      <c r="D129" s="12"/>
      <c r="E129" s="22"/>
    </row>
    <row r="130" spans="4:5" ht="15">
      <c r="D130" s="12"/>
      <c r="E130" s="22"/>
    </row>
  </sheetData>
  <sheetProtection/>
  <mergeCells count="16">
    <mergeCell ref="A14:F14"/>
    <mergeCell ref="A15:F15"/>
    <mergeCell ref="A21:A22"/>
    <mergeCell ref="B21:B22"/>
    <mergeCell ref="D21:D22"/>
    <mergeCell ref="E21:E22"/>
    <mergeCell ref="A16:F16"/>
    <mergeCell ref="A17:F17"/>
    <mergeCell ref="A8:B8"/>
    <mergeCell ref="E8:F8"/>
    <mergeCell ref="A9:B9"/>
    <mergeCell ref="D9:F9"/>
    <mergeCell ref="A10:B10"/>
    <mergeCell ref="D10:F10"/>
    <mergeCell ref="A11:B11"/>
    <mergeCell ref="A12:B12"/>
  </mergeCells>
  <printOptions/>
  <pageMargins left="1.1811023622047245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R130"/>
  <sheetViews>
    <sheetView zoomScalePageLayoutView="0" workbookViewId="0" topLeftCell="A17">
      <selection activeCell="A14" sqref="A14:F16"/>
    </sheetView>
  </sheetViews>
  <sheetFormatPr defaultColWidth="9.140625" defaultRowHeight="15"/>
  <cols>
    <col min="1" max="1" width="5.8515625" style="4" customWidth="1"/>
    <col min="2" max="2" width="37.28125" style="4" customWidth="1"/>
    <col min="3" max="3" width="17.7109375" style="4" hidden="1" customWidth="1"/>
    <col min="4" max="4" width="14.28125" style="4" customWidth="1"/>
    <col min="5" max="5" width="25.8515625" style="19" customWidth="1"/>
    <col min="6" max="6" width="0.2890625" style="30" customWidth="1"/>
    <col min="7" max="7" width="10.57421875" style="31" customWidth="1"/>
    <col min="8" max="8" width="10.421875" style="31" customWidth="1"/>
    <col min="9" max="9" width="10.00390625" style="31" customWidth="1"/>
    <col min="10" max="10" width="9.8515625" style="31" customWidth="1"/>
    <col min="11" max="11" width="9.28125" style="31" customWidth="1"/>
    <col min="12" max="14" width="9.8515625" style="31" customWidth="1"/>
    <col min="15" max="23" width="9.8515625" style="31" hidden="1" customWidth="1"/>
    <col min="24" max="39" width="9.8515625" style="31" customWidth="1"/>
    <col min="40" max="40" width="11.421875" style="31" customWidth="1"/>
    <col min="41" max="41" width="11.00390625" style="31" customWidth="1"/>
    <col min="42" max="42" width="11.140625" style="31" customWidth="1"/>
    <col min="43" max="44" width="9.140625" style="31" customWidth="1"/>
    <col min="45" max="16384" width="9.140625" style="4" customWidth="1"/>
  </cols>
  <sheetData>
    <row r="1" spans="1:5" ht="15.75" hidden="1">
      <c r="A1" s="1" t="s">
        <v>0</v>
      </c>
      <c r="E1" s="18" t="s">
        <v>9</v>
      </c>
    </row>
    <row r="2" spans="1:5" ht="15.75" hidden="1">
      <c r="A2" s="1" t="s">
        <v>1</v>
      </c>
      <c r="E2" s="18" t="s">
        <v>11</v>
      </c>
    </row>
    <row r="3" spans="1:5" ht="15.75" hidden="1">
      <c r="A3" s="1" t="s">
        <v>2</v>
      </c>
      <c r="E3" s="18" t="s">
        <v>10</v>
      </c>
    </row>
    <row r="4" ht="15.75" hidden="1">
      <c r="A4" s="1" t="s">
        <v>3</v>
      </c>
    </row>
    <row r="5" ht="15" hidden="1"/>
    <row r="6" spans="1:5" ht="93.75" hidden="1">
      <c r="A6" s="2" t="s">
        <v>12</v>
      </c>
      <c r="B6" s="3"/>
      <c r="C6" s="3"/>
      <c r="D6" s="3"/>
      <c r="E6" s="20"/>
    </row>
    <row r="7" spans="1:5" ht="15" hidden="1">
      <c r="A7" s="3" t="s">
        <v>53</v>
      </c>
      <c r="B7" s="3"/>
      <c r="C7" s="3"/>
      <c r="D7" s="3"/>
      <c r="E7" s="21"/>
    </row>
    <row r="8" spans="1:6" ht="15.75" customHeight="1">
      <c r="A8" s="60" t="s">
        <v>0</v>
      </c>
      <c r="B8" s="61"/>
      <c r="C8" s="52"/>
      <c r="D8" s="53"/>
      <c r="E8" s="62" t="s">
        <v>9</v>
      </c>
      <c r="F8" s="63"/>
    </row>
    <row r="9" spans="1:6" ht="15">
      <c r="A9" s="61" t="s">
        <v>83</v>
      </c>
      <c r="B9" s="61"/>
      <c r="C9" s="52"/>
      <c r="D9" s="64" t="s">
        <v>114</v>
      </c>
      <c r="E9" s="63"/>
      <c r="F9" s="63"/>
    </row>
    <row r="10" spans="1:6" ht="15">
      <c r="A10" s="61" t="s">
        <v>84</v>
      </c>
      <c r="B10" s="61"/>
      <c r="C10" s="52"/>
      <c r="D10" s="64" t="s">
        <v>118</v>
      </c>
      <c r="E10" s="63"/>
      <c r="F10" s="63"/>
    </row>
    <row r="11" spans="1:5" ht="15">
      <c r="A11" s="61" t="s">
        <v>2</v>
      </c>
      <c r="B11" s="61"/>
      <c r="C11" s="52"/>
      <c r="D11" s="52"/>
      <c r="E11" s="21"/>
    </row>
    <row r="12" spans="1:5" ht="15" customHeight="1">
      <c r="A12" s="61" t="s">
        <v>148</v>
      </c>
      <c r="B12" s="61"/>
      <c r="C12" s="52"/>
      <c r="D12" s="52"/>
      <c r="E12" s="21"/>
    </row>
    <row r="13" spans="1:5" ht="15">
      <c r="A13" s="54"/>
      <c r="B13" s="54"/>
      <c r="C13" s="52"/>
      <c r="D13" s="52"/>
      <c r="E13" s="21"/>
    </row>
    <row r="14" spans="1:6" ht="15">
      <c r="A14" s="65" t="s">
        <v>86</v>
      </c>
      <c r="B14" s="65"/>
      <c r="C14" s="65"/>
      <c r="D14" s="65"/>
      <c r="E14" s="65"/>
      <c r="F14" s="65"/>
    </row>
    <row r="15" spans="1:6" ht="15">
      <c r="A15" s="65" t="s">
        <v>87</v>
      </c>
      <c r="B15" s="65"/>
      <c r="C15" s="65"/>
      <c r="D15" s="65"/>
      <c r="E15" s="65"/>
      <c r="F15" s="65"/>
    </row>
    <row r="16" spans="1:6" ht="15">
      <c r="A16" s="65" t="s">
        <v>88</v>
      </c>
      <c r="B16" s="65"/>
      <c r="C16" s="65"/>
      <c r="D16" s="65"/>
      <c r="E16" s="65"/>
      <c r="F16" s="65"/>
    </row>
    <row r="17" spans="1:6" ht="15">
      <c r="A17" s="78" t="s">
        <v>100</v>
      </c>
      <c r="B17" s="79"/>
      <c r="C17" s="79"/>
      <c r="D17" s="79"/>
      <c r="E17" s="79"/>
      <c r="F17" s="79"/>
    </row>
    <row r="18" spans="1:5" ht="15">
      <c r="A18" s="3"/>
      <c r="B18" s="3"/>
      <c r="C18" s="3"/>
      <c r="D18" s="3"/>
      <c r="E18" s="55"/>
    </row>
    <row r="19" spans="1:9" ht="28.5">
      <c r="A19" s="10" t="s">
        <v>47</v>
      </c>
      <c r="B19" s="3"/>
      <c r="C19" s="3"/>
      <c r="D19" s="3"/>
      <c r="E19" s="48"/>
      <c r="H19" s="51">
        <v>2651.2</v>
      </c>
      <c r="I19" s="31">
        <v>77549.72</v>
      </c>
    </row>
    <row r="20" ht="15">
      <c r="D20" s="16"/>
    </row>
    <row r="21" spans="1:42" ht="42" customHeight="1">
      <c r="A21" s="74" t="s">
        <v>8</v>
      </c>
      <c r="B21" s="74" t="s">
        <v>4</v>
      </c>
      <c r="C21" s="28" t="s">
        <v>5</v>
      </c>
      <c r="D21" s="75" t="s">
        <v>6</v>
      </c>
      <c r="E21" s="77" t="s">
        <v>7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3"/>
    </row>
    <row r="22" spans="1:42" ht="14.25" customHeight="1">
      <c r="A22" s="74"/>
      <c r="B22" s="74"/>
      <c r="C22" s="28"/>
      <c r="D22" s="76"/>
      <c r="E22" s="77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6"/>
    </row>
    <row r="23" spans="1:44" s="11" customFormat="1" ht="51">
      <c r="A23" s="23">
        <v>1</v>
      </c>
      <c r="B23" s="24" t="s">
        <v>13</v>
      </c>
      <c r="C23" s="25"/>
      <c r="D23" s="44">
        <f>D24+D25+D54+D55</f>
        <v>1246645.1328309113</v>
      </c>
      <c r="E23" s="50">
        <f>E24+E25+E54+E55</f>
        <v>39.18493301243812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6"/>
      <c r="AQ23" s="38"/>
      <c r="AR23" s="38"/>
    </row>
    <row r="24" spans="1:44" ht="51.75" customHeight="1">
      <c r="A24" s="8">
        <v>2</v>
      </c>
      <c r="B24" s="5" t="s">
        <v>45</v>
      </c>
      <c r="C24" s="13" t="s">
        <v>54</v>
      </c>
      <c r="D24" s="45">
        <f>1905742/77549.72*2651.2</f>
        <v>65151.79152677791</v>
      </c>
      <c r="E24" s="26">
        <f>D24/H19/12</f>
        <v>2.0478711378111143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6"/>
      <c r="AQ24" s="40"/>
      <c r="AR24" s="40"/>
    </row>
    <row r="25" spans="1:44" ht="25.5">
      <c r="A25" s="8">
        <v>3</v>
      </c>
      <c r="B25" s="5" t="s">
        <v>29</v>
      </c>
      <c r="C25" s="13"/>
      <c r="D25" s="45">
        <f>D26+D27+D28+D29+D30+D31+D32+D33+D34+D35+D36+D37+D38+D39+D40+D41+D42+D43+D44+D45+D46+D47+D48+D49+D50+D51+D52+D53+D54+D55+D56</f>
        <v>1181493.3413041334</v>
      </c>
      <c r="E25" s="26">
        <f>SUM(E26:E56)</f>
        <v>37.13706187462701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0"/>
      <c r="AR25" s="40"/>
    </row>
    <row r="26" spans="1:44" ht="25.5">
      <c r="A26" s="9">
        <v>3.1</v>
      </c>
      <c r="B26" s="5" t="s">
        <v>14</v>
      </c>
      <c r="C26" s="13"/>
      <c r="D26" s="46"/>
      <c r="E26" s="27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6"/>
      <c r="AQ26" s="40"/>
      <c r="AR26" s="40"/>
    </row>
    <row r="27" spans="1:44" ht="25.5">
      <c r="A27" s="6">
        <v>3.2</v>
      </c>
      <c r="B27" s="5" t="s">
        <v>15</v>
      </c>
      <c r="C27" s="13" t="s">
        <v>57</v>
      </c>
      <c r="D27" s="46">
        <f>353626/77549.72*2651.2</f>
        <v>12089.447275889583</v>
      </c>
      <c r="E27" s="27">
        <f>D27/H19/12</f>
        <v>0.3799992228641616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36"/>
      <c r="AQ27" s="40"/>
      <c r="AR27" s="40"/>
    </row>
    <row r="28" spans="1:44" ht="25.5">
      <c r="A28" s="9">
        <v>3.3</v>
      </c>
      <c r="B28" s="5" t="s">
        <v>16</v>
      </c>
      <c r="C28" s="13" t="s">
        <v>59</v>
      </c>
      <c r="D28" s="46">
        <f>158201/77549.72*2651.2</f>
        <v>5408.4333405717</v>
      </c>
      <c r="E28" s="27">
        <f>D28/H19/12</f>
        <v>0.1699995392203436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36"/>
      <c r="AQ28" s="40"/>
      <c r="AR28" s="40"/>
    </row>
    <row r="29" spans="1:44" ht="34.5" customHeight="1">
      <c r="A29" s="6" t="s">
        <v>68</v>
      </c>
      <c r="B29" s="5" t="s">
        <v>17</v>
      </c>
      <c r="C29" s="13" t="s">
        <v>56</v>
      </c>
      <c r="D29" s="46"/>
      <c r="E29" s="27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6"/>
      <c r="AQ29" s="40"/>
      <c r="AR29" s="40"/>
    </row>
    <row r="30" spans="1:44" ht="34.5" customHeight="1">
      <c r="A30" s="6" t="s">
        <v>69</v>
      </c>
      <c r="B30" s="5" t="s">
        <v>70</v>
      </c>
      <c r="C30" s="13"/>
      <c r="D30" s="46"/>
      <c r="E30" s="27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6"/>
      <c r="AQ30" s="40"/>
      <c r="AR30" s="40"/>
    </row>
    <row r="31" spans="1:44" ht="41.25" customHeight="1">
      <c r="A31" s="6" t="s">
        <v>71</v>
      </c>
      <c r="B31" s="5" t="s">
        <v>72</v>
      </c>
      <c r="C31" s="13"/>
      <c r="D31" s="46"/>
      <c r="E31" s="27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6"/>
      <c r="AQ31" s="40"/>
      <c r="AR31" s="40"/>
    </row>
    <row r="32" spans="1:44" ht="25.5">
      <c r="A32" s="9">
        <v>3.7</v>
      </c>
      <c r="B32" s="5" t="s">
        <v>18</v>
      </c>
      <c r="C32" s="13" t="s">
        <v>57</v>
      </c>
      <c r="D32" s="46">
        <f>2345097/77549.72*2651.2</f>
        <v>80172.06466251586</v>
      </c>
      <c r="E32" s="27">
        <f>D32/H19/12</f>
        <v>2.5199929799875487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36"/>
      <c r="AQ32" s="40"/>
      <c r="AR32" s="40"/>
    </row>
    <row r="33" spans="1:44" ht="25.5">
      <c r="A33" s="6">
        <v>3.8</v>
      </c>
      <c r="B33" s="5" t="s">
        <v>64</v>
      </c>
      <c r="C33" s="13" t="s">
        <v>57</v>
      </c>
      <c r="D33" s="46">
        <f>651416/77549.72*2651.2</f>
        <v>22270.023659659888</v>
      </c>
      <c r="E33" s="27">
        <f>D33/H19/12</f>
        <v>0.6999982290931116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36"/>
      <c r="AQ33" s="40"/>
      <c r="AR33" s="40"/>
    </row>
    <row r="34" spans="1:44" ht="25.5">
      <c r="A34" s="9">
        <v>3.9</v>
      </c>
      <c r="B34" s="5" t="s">
        <v>19</v>
      </c>
      <c r="C34" s="13" t="s">
        <v>57</v>
      </c>
      <c r="D34" s="46">
        <f>697946/77549.72*2651.2</f>
        <v>23860.74940309262</v>
      </c>
      <c r="E34" s="27">
        <f>D34/H19/12</f>
        <v>0.7499984096224547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36"/>
      <c r="AQ34" s="40"/>
      <c r="AR34" s="40"/>
    </row>
    <row r="35" spans="1:44" ht="25.5">
      <c r="A35" s="6" t="s">
        <v>30</v>
      </c>
      <c r="B35" s="5" t="s">
        <v>65</v>
      </c>
      <c r="C35" s="13" t="s">
        <v>57</v>
      </c>
      <c r="D35" s="46"/>
      <c r="E35" s="27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36"/>
      <c r="AQ35" s="40"/>
      <c r="AR35" s="40"/>
    </row>
    <row r="36" spans="1:44" ht="25.5">
      <c r="A36" s="6" t="s">
        <v>31</v>
      </c>
      <c r="B36" s="5" t="s">
        <v>66</v>
      </c>
      <c r="C36" s="13"/>
      <c r="D36" s="46"/>
      <c r="E36" s="27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36"/>
      <c r="AQ36" s="40"/>
      <c r="AR36" s="40"/>
    </row>
    <row r="37" spans="1:44" ht="40.5" customHeight="1">
      <c r="A37" s="6" t="s">
        <v>32</v>
      </c>
      <c r="B37" s="5" t="s">
        <v>20</v>
      </c>
      <c r="C37" s="13"/>
      <c r="D37" s="46"/>
      <c r="E37" s="27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36"/>
      <c r="AQ37" s="40"/>
      <c r="AR37" s="40"/>
    </row>
    <row r="38" spans="1:44" ht="51">
      <c r="A38" s="6" t="s">
        <v>33</v>
      </c>
      <c r="B38" s="5" t="s">
        <v>21</v>
      </c>
      <c r="C38" s="13" t="s">
        <v>58</v>
      </c>
      <c r="D38" s="46">
        <f>2373015/77549.72*2651.2</f>
        <v>81126.50010857549</v>
      </c>
      <c r="E38" s="27">
        <f>D38/H19/12</f>
        <v>2.5499930883051545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36"/>
      <c r="AQ38" s="40"/>
      <c r="AR38" s="40"/>
    </row>
    <row r="39" spans="1:44" ht="33" customHeight="1">
      <c r="A39" s="6" t="s">
        <v>34</v>
      </c>
      <c r="B39" s="5" t="s">
        <v>73</v>
      </c>
      <c r="C39" s="13"/>
      <c r="D39" s="46"/>
      <c r="E39" s="27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36"/>
      <c r="AQ39" s="40"/>
      <c r="AR39" s="40"/>
    </row>
    <row r="40" spans="1:44" ht="41.25" customHeight="1">
      <c r="A40" s="6" t="s">
        <v>35</v>
      </c>
      <c r="B40" s="5" t="s">
        <v>22</v>
      </c>
      <c r="C40" s="13"/>
      <c r="D40" s="46"/>
      <c r="E40" s="27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36"/>
      <c r="AQ40" s="40"/>
      <c r="AR40" s="40"/>
    </row>
    <row r="41" spans="1:44" ht="41.25" customHeight="1">
      <c r="A41" s="6" t="s">
        <v>36</v>
      </c>
      <c r="B41" s="5" t="s">
        <v>74</v>
      </c>
      <c r="C41" s="13"/>
      <c r="D41" s="46"/>
      <c r="E41" s="27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36"/>
      <c r="AQ41" s="40"/>
      <c r="AR41" s="40"/>
    </row>
    <row r="42" spans="1:44" ht="40.5" customHeight="1">
      <c r="A42" s="6" t="s">
        <v>37</v>
      </c>
      <c r="B42" s="5" t="s">
        <v>75</v>
      </c>
      <c r="C42" s="13" t="s">
        <v>54</v>
      </c>
      <c r="D42" s="47">
        <f>2696000/77549.72*2651.2</f>
        <v>92168.42046625055</v>
      </c>
      <c r="E42" s="27">
        <f>D42/H19/12</f>
        <v>2.8970661230842185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36"/>
      <c r="AQ42" s="40"/>
      <c r="AR42" s="40"/>
    </row>
    <row r="43" spans="1:44" ht="51">
      <c r="A43" s="6" t="s">
        <v>38</v>
      </c>
      <c r="B43" s="5" t="s">
        <v>67</v>
      </c>
      <c r="C43" s="13"/>
      <c r="D43" s="46"/>
      <c r="E43" s="27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36"/>
      <c r="AQ43" s="40"/>
      <c r="AR43" s="40"/>
    </row>
    <row r="44" spans="1:44" ht="40.5" customHeight="1">
      <c r="A44" s="6" t="s">
        <v>39</v>
      </c>
      <c r="B44" s="5" t="s">
        <v>76</v>
      </c>
      <c r="C44" s="13"/>
      <c r="D44" s="46"/>
      <c r="E44" s="27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36"/>
      <c r="AQ44" s="40"/>
      <c r="AR44" s="40"/>
    </row>
    <row r="45" spans="1:44" ht="39" customHeight="1">
      <c r="A45" s="6" t="s">
        <v>40</v>
      </c>
      <c r="B45" s="5" t="s">
        <v>77</v>
      </c>
      <c r="C45" s="13" t="s">
        <v>54</v>
      </c>
      <c r="D45" s="29">
        <f>1448000/77549.72*2651.2</f>
        <v>49502.92019107225</v>
      </c>
      <c r="E45" s="27">
        <f>D45/H19/12</f>
        <v>1.5559910037930074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36"/>
      <c r="AQ45" s="40"/>
      <c r="AR45" s="40"/>
    </row>
    <row r="46" spans="1:44" ht="39" customHeight="1">
      <c r="A46" s="6" t="s">
        <v>41</v>
      </c>
      <c r="B46" s="5" t="s">
        <v>78</v>
      </c>
      <c r="C46" s="13"/>
      <c r="D46" s="29"/>
      <c r="E46" s="27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36"/>
      <c r="AQ46" s="40"/>
      <c r="AR46" s="40"/>
    </row>
    <row r="47" spans="1:44" ht="25.5">
      <c r="A47" s="6" t="s">
        <v>42</v>
      </c>
      <c r="B47" s="5" t="s">
        <v>62</v>
      </c>
      <c r="C47" s="13" t="s">
        <v>54</v>
      </c>
      <c r="D47" s="46"/>
      <c r="E47" s="27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36"/>
      <c r="AQ47" s="40"/>
      <c r="AR47" s="40"/>
    </row>
    <row r="48" spans="1:44" ht="25.5">
      <c r="A48" s="6" t="s">
        <v>43</v>
      </c>
      <c r="B48" s="7" t="s">
        <v>63</v>
      </c>
      <c r="C48" s="13" t="s">
        <v>54</v>
      </c>
      <c r="D48" s="46">
        <f>13972201/77549.72*2651.2</f>
        <v>477669.02693136735</v>
      </c>
      <c r="E48" s="27">
        <f>D48/H19/12</f>
        <v>15.014239681759435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36"/>
      <c r="AQ48" s="40"/>
      <c r="AR48" s="40"/>
    </row>
    <row r="49" spans="1:44" ht="25.5">
      <c r="A49" s="6" t="s">
        <v>46</v>
      </c>
      <c r="B49" s="5" t="s">
        <v>23</v>
      </c>
      <c r="C49" s="13" t="s">
        <v>60</v>
      </c>
      <c r="D49" s="46">
        <f>465297/77549.72*2651.2</f>
        <v>15907.154873028554</v>
      </c>
      <c r="E49" s="27">
        <f>D49/H19/12</f>
        <v>0.49999858155516225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36"/>
      <c r="AQ49" s="40"/>
      <c r="AR49" s="40"/>
    </row>
    <row r="50" spans="1:44" ht="25.5">
      <c r="A50" s="6" t="s">
        <v>79</v>
      </c>
      <c r="B50" s="5" t="s">
        <v>24</v>
      </c>
      <c r="C50" s="13" t="s">
        <v>61</v>
      </c>
      <c r="D50" s="46">
        <f>5667319/77549.72*2651.2</f>
        <v>193749.19900162113</v>
      </c>
      <c r="E50" s="27">
        <f>D50/H19/12</f>
        <v>6.089984378194187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36"/>
      <c r="AQ50" s="40"/>
      <c r="AR50" s="40"/>
    </row>
    <row r="51" spans="1:44" ht="38.25">
      <c r="A51" s="6" t="s">
        <v>80</v>
      </c>
      <c r="B51" s="5" t="s">
        <v>25</v>
      </c>
      <c r="C51" s="17" t="s">
        <v>55</v>
      </c>
      <c r="D51" s="29">
        <f>2308000/77549.72*2651.2</f>
        <v>78903.82582941627</v>
      </c>
      <c r="E51" s="27">
        <f>D51/H19/12</f>
        <v>2.4801293071507327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36"/>
      <c r="AQ51" s="40"/>
      <c r="AR51" s="40"/>
    </row>
    <row r="52" spans="1:44" ht="25.5">
      <c r="A52" s="6" t="s">
        <v>81</v>
      </c>
      <c r="B52" s="5" t="s">
        <v>26</v>
      </c>
      <c r="C52" s="13" t="s">
        <v>54</v>
      </c>
      <c r="D52" s="29">
        <f>9000/77549.72*2651.2</f>
        <v>307.6838962152281</v>
      </c>
      <c r="E52" s="27">
        <f>D52/H19/12</f>
        <v>0.009671214802580848</v>
      </c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36"/>
      <c r="AQ52" s="40"/>
      <c r="AR52" s="40"/>
    </row>
    <row r="53" spans="1:44" ht="38.25">
      <c r="A53" s="6" t="s">
        <v>82</v>
      </c>
      <c r="B53" s="5" t="s">
        <v>27</v>
      </c>
      <c r="C53" s="14" t="s">
        <v>54</v>
      </c>
      <c r="D53" s="29">
        <f>1414507/77549.72*2651.2</f>
        <v>48357.891664857074</v>
      </c>
      <c r="E53" s="27">
        <f>D53/H19/12</f>
        <v>1.5200001151949143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36"/>
      <c r="AQ53" s="40"/>
      <c r="AR53" s="40"/>
    </row>
    <row r="54" spans="1:44" ht="25.5">
      <c r="A54" s="6" t="s">
        <v>44</v>
      </c>
      <c r="B54" s="5" t="s">
        <v>28</v>
      </c>
      <c r="C54" s="15" t="s">
        <v>54</v>
      </c>
      <c r="D54" s="46"/>
      <c r="E54" s="27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36"/>
      <c r="AQ54" s="40"/>
      <c r="AR54" s="40"/>
    </row>
    <row r="55" spans="1:44" ht="38.25">
      <c r="A55" s="6" t="s">
        <v>48</v>
      </c>
      <c r="B55" s="5" t="s">
        <v>49</v>
      </c>
      <c r="C55" s="13" t="s">
        <v>52</v>
      </c>
      <c r="D55" s="46"/>
      <c r="E55" s="27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36"/>
      <c r="AQ55" s="40"/>
      <c r="AR55" s="40"/>
    </row>
    <row r="56" spans="1:44" ht="38.25">
      <c r="A56" s="6" t="s">
        <v>50</v>
      </c>
      <c r="B56" s="5" t="s">
        <v>51</v>
      </c>
      <c r="C56" s="13" t="s">
        <v>52</v>
      </c>
      <c r="D56" s="46"/>
      <c r="E56" s="27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36"/>
      <c r="AQ56" s="40"/>
      <c r="AR56" s="40"/>
    </row>
    <row r="57" spans="4:5" ht="15">
      <c r="D57" s="12"/>
      <c r="E57" s="22"/>
    </row>
    <row r="58" spans="4:5" ht="15">
      <c r="D58" s="12"/>
      <c r="E58" s="22"/>
    </row>
    <row r="59" spans="4:5" ht="15">
      <c r="D59" s="12"/>
      <c r="E59" s="22"/>
    </row>
    <row r="60" spans="4:5" ht="15">
      <c r="D60" s="12"/>
      <c r="E60" s="22"/>
    </row>
    <row r="61" spans="4:5" ht="15">
      <c r="D61" s="12"/>
      <c r="E61" s="22"/>
    </row>
    <row r="62" spans="4:5" ht="15">
      <c r="D62" s="12"/>
      <c r="E62" s="22"/>
    </row>
    <row r="63" spans="4:5" ht="15">
      <c r="D63" s="12"/>
      <c r="E63" s="22"/>
    </row>
    <row r="64" spans="4:5" ht="15">
      <c r="D64" s="12"/>
      <c r="E64" s="22"/>
    </row>
    <row r="65" spans="4:5" ht="15">
      <c r="D65" s="12"/>
      <c r="E65" s="22"/>
    </row>
    <row r="66" spans="4:5" ht="15">
      <c r="D66" s="12"/>
      <c r="E66" s="22"/>
    </row>
    <row r="67" spans="4:5" ht="15">
      <c r="D67" s="12"/>
      <c r="E67" s="22"/>
    </row>
    <row r="68" spans="4:5" ht="15">
      <c r="D68" s="12"/>
      <c r="E68" s="22"/>
    </row>
    <row r="69" spans="4:5" ht="15">
      <c r="D69" s="12"/>
      <c r="E69" s="22"/>
    </row>
    <row r="70" spans="4:5" ht="15">
      <c r="D70" s="12"/>
      <c r="E70" s="22"/>
    </row>
    <row r="71" spans="4:5" ht="15">
      <c r="D71" s="12"/>
      <c r="E71" s="22"/>
    </row>
    <row r="72" spans="4:5" ht="15">
      <c r="D72" s="12"/>
      <c r="E72" s="22"/>
    </row>
    <row r="73" spans="4:5" ht="15">
      <c r="D73" s="12"/>
      <c r="E73" s="22"/>
    </row>
    <row r="74" spans="4:5" ht="15">
      <c r="D74" s="12"/>
      <c r="E74" s="22"/>
    </row>
    <row r="75" spans="4:5" ht="15">
      <c r="D75" s="12"/>
      <c r="E75" s="22"/>
    </row>
    <row r="76" spans="4:5" ht="15">
      <c r="D76" s="12"/>
      <c r="E76" s="22"/>
    </row>
    <row r="77" spans="4:5" ht="15">
      <c r="D77" s="12"/>
      <c r="E77" s="22"/>
    </row>
    <row r="78" spans="4:5" ht="15">
      <c r="D78" s="12"/>
      <c r="E78" s="22"/>
    </row>
    <row r="79" spans="4:5" ht="15">
      <c r="D79" s="12"/>
      <c r="E79" s="22"/>
    </row>
    <row r="80" spans="4:5" ht="15">
      <c r="D80" s="12"/>
      <c r="E80" s="22"/>
    </row>
    <row r="81" spans="4:5" ht="15">
      <c r="D81" s="12"/>
      <c r="E81" s="22"/>
    </row>
    <row r="82" spans="4:5" ht="15">
      <c r="D82" s="12"/>
      <c r="E82" s="22"/>
    </row>
    <row r="83" spans="4:5" ht="15">
      <c r="D83" s="12"/>
      <c r="E83" s="22"/>
    </row>
    <row r="84" spans="4:5" ht="15">
      <c r="D84" s="12"/>
      <c r="E84" s="22"/>
    </row>
    <row r="85" spans="4:5" ht="15">
      <c r="D85" s="12"/>
      <c r="E85" s="22"/>
    </row>
    <row r="86" spans="4:5" ht="15">
      <c r="D86" s="12"/>
      <c r="E86" s="22"/>
    </row>
    <row r="87" spans="4:5" ht="15">
      <c r="D87" s="12"/>
      <c r="E87" s="22"/>
    </row>
    <row r="88" spans="4:5" ht="15">
      <c r="D88" s="12"/>
      <c r="E88" s="22"/>
    </row>
    <row r="89" spans="4:5" ht="15">
      <c r="D89" s="12"/>
      <c r="E89" s="22"/>
    </row>
    <row r="90" spans="4:5" ht="15">
      <c r="D90" s="12"/>
      <c r="E90" s="22"/>
    </row>
    <row r="91" spans="4:5" ht="15">
      <c r="D91" s="12"/>
      <c r="E91" s="22"/>
    </row>
    <row r="92" spans="4:5" ht="15">
      <c r="D92" s="12"/>
      <c r="E92" s="22"/>
    </row>
    <row r="93" spans="4:5" ht="15">
      <c r="D93" s="12"/>
      <c r="E93" s="22"/>
    </row>
    <row r="94" spans="4:5" ht="15">
      <c r="D94" s="12"/>
      <c r="E94" s="22"/>
    </row>
    <row r="95" spans="4:5" ht="15">
      <c r="D95" s="12"/>
      <c r="E95" s="22"/>
    </row>
    <row r="96" spans="4:5" ht="15">
      <c r="D96" s="12"/>
      <c r="E96" s="22"/>
    </row>
    <row r="97" spans="4:5" ht="15">
      <c r="D97" s="12"/>
      <c r="E97" s="22"/>
    </row>
    <row r="98" spans="4:5" ht="15">
      <c r="D98" s="12"/>
      <c r="E98" s="22"/>
    </row>
    <row r="99" spans="4:5" ht="15">
      <c r="D99" s="12"/>
      <c r="E99" s="22"/>
    </row>
    <row r="100" spans="4:5" ht="15">
      <c r="D100" s="12"/>
      <c r="E100" s="22"/>
    </row>
    <row r="101" spans="4:5" ht="15">
      <c r="D101" s="12"/>
      <c r="E101" s="22"/>
    </row>
    <row r="102" spans="4:5" ht="15">
      <c r="D102" s="12"/>
      <c r="E102" s="22"/>
    </row>
    <row r="103" spans="4:5" ht="15">
      <c r="D103" s="12"/>
      <c r="E103" s="22"/>
    </row>
    <row r="104" spans="4:5" ht="15">
      <c r="D104" s="12"/>
      <c r="E104" s="22"/>
    </row>
    <row r="105" spans="4:5" ht="15">
      <c r="D105" s="12"/>
      <c r="E105" s="22"/>
    </row>
    <row r="106" spans="4:5" ht="15">
      <c r="D106" s="12"/>
      <c r="E106" s="22"/>
    </row>
    <row r="107" spans="4:5" ht="15">
      <c r="D107" s="12"/>
      <c r="E107" s="22"/>
    </row>
    <row r="108" spans="4:5" ht="15">
      <c r="D108" s="12"/>
      <c r="E108" s="22"/>
    </row>
    <row r="109" spans="4:5" ht="15">
      <c r="D109" s="12"/>
      <c r="E109" s="22"/>
    </row>
    <row r="110" spans="4:5" ht="15">
      <c r="D110" s="12"/>
      <c r="E110" s="22"/>
    </row>
    <row r="111" spans="4:5" ht="15">
      <c r="D111" s="12"/>
      <c r="E111" s="22"/>
    </row>
    <row r="112" spans="4:5" ht="15">
      <c r="D112" s="12"/>
      <c r="E112" s="22"/>
    </row>
    <row r="113" spans="4:5" ht="15">
      <c r="D113" s="12"/>
      <c r="E113" s="22"/>
    </row>
    <row r="114" spans="4:5" ht="15">
      <c r="D114" s="12"/>
      <c r="E114" s="22"/>
    </row>
    <row r="115" spans="4:5" ht="15">
      <c r="D115" s="12"/>
      <c r="E115" s="22"/>
    </row>
    <row r="116" spans="4:5" ht="15">
      <c r="D116" s="12"/>
      <c r="E116" s="22"/>
    </row>
    <row r="117" spans="4:5" ht="15">
      <c r="D117" s="12"/>
      <c r="E117" s="22"/>
    </row>
    <row r="118" spans="4:5" ht="15">
      <c r="D118" s="12"/>
      <c r="E118" s="22"/>
    </row>
    <row r="119" spans="4:5" ht="15">
      <c r="D119" s="12"/>
      <c r="E119" s="22"/>
    </row>
    <row r="120" spans="4:5" ht="15">
      <c r="D120" s="12"/>
      <c r="E120" s="22"/>
    </row>
    <row r="121" spans="4:5" ht="15">
      <c r="D121" s="12"/>
      <c r="E121" s="22"/>
    </row>
    <row r="122" spans="4:5" ht="15">
      <c r="D122" s="12"/>
      <c r="E122" s="22"/>
    </row>
    <row r="123" spans="4:5" ht="15">
      <c r="D123" s="12"/>
      <c r="E123" s="22"/>
    </row>
    <row r="124" spans="4:5" ht="15">
      <c r="D124" s="12"/>
      <c r="E124" s="22"/>
    </row>
    <row r="125" spans="4:5" ht="15">
      <c r="D125" s="12"/>
      <c r="E125" s="22"/>
    </row>
    <row r="126" spans="4:5" ht="15">
      <c r="D126" s="12"/>
      <c r="E126" s="22"/>
    </row>
    <row r="127" spans="4:5" ht="15">
      <c r="D127" s="12"/>
      <c r="E127" s="22"/>
    </row>
    <row r="128" spans="4:5" ht="15">
      <c r="D128" s="12"/>
      <c r="E128" s="22"/>
    </row>
    <row r="129" spans="4:5" ht="15">
      <c r="D129" s="12"/>
      <c r="E129" s="22"/>
    </row>
    <row r="130" spans="4:5" ht="15">
      <c r="D130" s="12"/>
      <c r="E130" s="22"/>
    </row>
  </sheetData>
  <sheetProtection/>
  <mergeCells count="16">
    <mergeCell ref="A14:F14"/>
    <mergeCell ref="A15:F15"/>
    <mergeCell ref="A21:A22"/>
    <mergeCell ref="B21:B22"/>
    <mergeCell ref="D21:D22"/>
    <mergeCell ref="E21:E22"/>
    <mergeCell ref="A16:F16"/>
    <mergeCell ref="A17:F17"/>
    <mergeCell ref="A8:B8"/>
    <mergeCell ref="E8:F8"/>
    <mergeCell ref="A9:B9"/>
    <mergeCell ref="D9:F9"/>
    <mergeCell ref="A10:B10"/>
    <mergeCell ref="D10:F10"/>
    <mergeCell ref="A11:B11"/>
    <mergeCell ref="A12:B12"/>
  </mergeCells>
  <printOptions/>
  <pageMargins left="1.1811023622047245" right="0.46" top="0.5905511811023623" bottom="0.3937007874015748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R130"/>
  <sheetViews>
    <sheetView zoomScalePageLayoutView="0" workbookViewId="0" topLeftCell="A8">
      <selection activeCell="A14" sqref="A14:F17"/>
    </sheetView>
  </sheetViews>
  <sheetFormatPr defaultColWidth="9.140625" defaultRowHeight="15"/>
  <cols>
    <col min="1" max="1" width="5.8515625" style="4" customWidth="1"/>
    <col min="2" max="2" width="38.00390625" style="4" customWidth="1"/>
    <col min="3" max="3" width="17.7109375" style="4" hidden="1" customWidth="1"/>
    <col min="4" max="4" width="16.421875" style="4" customWidth="1"/>
    <col min="5" max="5" width="17.00390625" style="19" customWidth="1"/>
    <col min="6" max="6" width="10.140625" style="30" hidden="1" customWidth="1"/>
    <col min="7" max="7" width="10.57421875" style="31" customWidth="1"/>
    <col min="8" max="8" width="10.421875" style="31" customWidth="1"/>
    <col min="9" max="9" width="10.00390625" style="31" customWidth="1"/>
    <col min="10" max="10" width="9.8515625" style="31" customWidth="1"/>
    <col min="11" max="11" width="9.28125" style="31" customWidth="1"/>
    <col min="12" max="14" width="9.8515625" style="31" customWidth="1"/>
    <col min="15" max="23" width="9.8515625" style="31" hidden="1" customWidth="1"/>
    <col min="24" max="39" width="9.8515625" style="31" customWidth="1"/>
    <col min="40" max="40" width="11.421875" style="31" customWidth="1"/>
    <col min="41" max="41" width="11.00390625" style="31" customWidth="1"/>
    <col min="42" max="42" width="11.140625" style="31" customWidth="1"/>
    <col min="43" max="44" width="9.140625" style="31" customWidth="1"/>
    <col min="45" max="16384" width="9.140625" style="4" customWidth="1"/>
  </cols>
  <sheetData>
    <row r="1" spans="1:5" ht="15.75" hidden="1">
      <c r="A1" s="1" t="s">
        <v>0</v>
      </c>
      <c r="E1" s="18" t="s">
        <v>9</v>
      </c>
    </row>
    <row r="2" spans="1:5" ht="15.75" hidden="1">
      <c r="A2" s="1" t="s">
        <v>1</v>
      </c>
      <c r="E2" s="18" t="s">
        <v>11</v>
      </c>
    </row>
    <row r="3" spans="1:5" ht="15.75" hidden="1">
      <c r="A3" s="1" t="s">
        <v>2</v>
      </c>
      <c r="E3" s="18" t="s">
        <v>10</v>
      </c>
    </row>
    <row r="4" ht="15.75" hidden="1">
      <c r="A4" s="1" t="s">
        <v>3</v>
      </c>
    </row>
    <row r="5" ht="15" hidden="1"/>
    <row r="6" spans="1:5" ht="93.75" hidden="1">
      <c r="A6" s="2" t="s">
        <v>12</v>
      </c>
      <c r="B6" s="3"/>
      <c r="C6" s="3"/>
      <c r="D6" s="3"/>
      <c r="E6" s="20"/>
    </row>
    <row r="7" spans="1:5" ht="15" hidden="1">
      <c r="A7" s="3" t="s">
        <v>53</v>
      </c>
      <c r="B7" s="3"/>
      <c r="C7" s="3"/>
      <c r="D7" s="3"/>
      <c r="E7" s="21"/>
    </row>
    <row r="8" spans="1:6" ht="15.75" customHeight="1">
      <c r="A8" s="60" t="s">
        <v>0</v>
      </c>
      <c r="B8" s="61"/>
      <c r="C8" s="52"/>
      <c r="D8" s="53"/>
      <c r="E8" s="62" t="s">
        <v>9</v>
      </c>
      <c r="F8" s="63"/>
    </row>
    <row r="9" spans="1:6" ht="15">
      <c r="A9" s="61" t="s">
        <v>83</v>
      </c>
      <c r="B9" s="61"/>
      <c r="C9" s="52"/>
      <c r="D9" s="64" t="s">
        <v>114</v>
      </c>
      <c r="E9" s="63"/>
      <c r="F9" s="63"/>
    </row>
    <row r="10" spans="1:6" ht="15">
      <c r="A10" s="61" t="s">
        <v>84</v>
      </c>
      <c r="B10" s="61"/>
      <c r="C10" s="52"/>
      <c r="D10" s="64" t="s">
        <v>118</v>
      </c>
      <c r="E10" s="63"/>
      <c r="F10" s="63"/>
    </row>
    <row r="11" spans="1:5" ht="15">
      <c r="A11" s="61" t="s">
        <v>2</v>
      </c>
      <c r="B11" s="61"/>
      <c r="C11" s="52"/>
      <c r="D11" s="52"/>
      <c r="E11" s="21"/>
    </row>
    <row r="12" spans="1:5" ht="15" customHeight="1">
      <c r="A12" s="61" t="s">
        <v>149</v>
      </c>
      <c r="B12" s="61"/>
      <c r="C12" s="52"/>
      <c r="D12" s="52"/>
      <c r="E12" s="21"/>
    </row>
    <row r="13" spans="1:5" ht="15">
      <c r="A13" s="54"/>
      <c r="B13" s="54"/>
      <c r="C13" s="52"/>
      <c r="D13" s="52"/>
      <c r="E13" s="21"/>
    </row>
    <row r="14" spans="1:6" ht="15">
      <c r="A14" s="65" t="s">
        <v>86</v>
      </c>
      <c r="B14" s="65"/>
      <c r="C14" s="65"/>
      <c r="D14" s="65"/>
      <c r="E14" s="65"/>
      <c r="F14" s="65"/>
    </row>
    <row r="15" spans="1:6" ht="15">
      <c r="A15" s="65" t="s">
        <v>87</v>
      </c>
      <c r="B15" s="65"/>
      <c r="C15" s="65"/>
      <c r="D15" s="65"/>
      <c r="E15" s="65"/>
      <c r="F15" s="65"/>
    </row>
    <row r="16" spans="1:6" ht="15">
      <c r="A16" s="65" t="s">
        <v>88</v>
      </c>
      <c r="B16" s="65"/>
      <c r="C16" s="65"/>
      <c r="D16" s="65"/>
      <c r="E16" s="65"/>
      <c r="F16" s="65"/>
    </row>
    <row r="17" spans="1:6" ht="15">
      <c r="A17" s="83" t="s">
        <v>101</v>
      </c>
      <c r="B17" s="84"/>
      <c r="C17" s="84"/>
      <c r="D17" s="84"/>
      <c r="E17" s="84"/>
      <c r="F17" s="84"/>
    </row>
    <row r="18" spans="1:5" ht="15">
      <c r="A18" s="3"/>
      <c r="B18" s="3"/>
      <c r="C18" s="3"/>
      <c r="D18" s="3"/>
      <c r="E18" s="55"/>
    </row>
    <row r="19" spans="1:9" ht="28.5">
      <c r="A19" s="10" t="s">
        <v>47</v>
      </c>
      <c r="B19" s="3"/>
      <c r="C19" s="3"/>
      <c r="D19" s="3"/>
      <c r="E19" s="48"/>
      <c r="H19" s="51">
        <v>2653.4</v>
      </c>
      <c r="I19" s="31">
        <v>77549.72</v>
      </c>
    </row>
    <row r="20" ht="15">
      <c r="D20" s="16"/>
    </row>
    <row r="21" spans="1:42" ht="42" customHeight="1">
      <c r="A21" s="74" t="s">
        <v>8</v>
      </c>
      <c r="B21" s="74" t="s">
        <v>4</v>
      </c>
      <c r="C21" s="28" t="s">
        <v>5</v>
      </c>
      <c r="D21" s="75" t="s">
        <v>6</v>
      </c>
      <c r="E21" s="77" t="s">
        <v>7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3"/>
    </row>
    <row r="22" spans="1:42" ht="14.25" customHeight="1">
      <c r="A22" s="74"/>
      <c r="B22" s="74"/>
      <c r="C22" s="28"/>
      <c r="D22" s="76"/>
      <c r="E22" s="77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6"/>
    </row>
    <row r="23" spans="1:44" s="11" customFormat="1" ht="51">
      <c r="A23" s="23">
        <v>1</v>
      </c>
      <c r="B23" s="24" t="s">
        <v>13</v>
      </c>
      <c r="C23" s="25"/>
      <c r="D23" s="44">
        <f>D24+D25+D54+D55</f>
        <v>1247679.6150624398</v>
      </c>
      <c r="E23" s="50">
        <f>E24+E25+E54+E55</f>
        <v>39.18493301243812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6"/>
      <c r="AQ23" s="38"/>
      <c r="AR23" s="38"/>
    </row>
    <row r="24" spans="1:44" ht="51.75" customHeight="1">
      <c r="A24" s="8">
        <v>2</v>
      </c>
      <c r="B24" s="5" t="s">
        <v>45</v>
      </c>
      <c r="C24" s="13" t="s">
        <v>54</v>
      </c>
      <c r="D24" s="45">
        <f>1905742/77549.72*2653.4</f>
        <v>65205.85532481613</v>
      </c>
      <c r="E24" s="26">
        <f>D24/H19/12</f>
        <v>2.0478711378111143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6"/>
      <c r="AQ24" s="40"/>
      <c r="AR24" s="40"/>
    </row>
    <row r="25" spans="1:44" ht="25.5">
      <c r="A25" s="8">
        <v>3</v>
      </c>
      <c r="B25" s="5" t="s">
        <v>29</v>
      </c>
      <c r="C25" s="13"/>
      <c r="D25" s="45">
        <f>D26+D27+D28+D29+D30+D31+D32+D33+D34+D35+D36+D37+D38+D39+D40+D41+D42+D43+D44+D45+D46+D47+D48+D49+D50+D51+D52+D53+D54+D55+D56</f>
        <v>1182473.7597376236</v>
      </c>
      <c r="E25" s="26">
        <f>SUM(E26:E56)</f>
        <v>37.13706187462701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0"/>
      <c r="AR25" s="40"/>
    </row>
    <row r="26" spans="1:44" ht="25.5">
      <c r="A26" s="9">
        <v>3.1</v>
      </c>
      <c r="B26" s="5" t="s">
        <v>14</v>
      </c>
      <c r="C26" s="13"/>
      <c r="D26" s="46"/>
      <c r="E26" s="27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6"/>
      <c r="AQ26" s="40"/>
      <c r="AR26" s="40"/>
    </row>
    <row r="27" spans="1:44" ht="24">
      <c r="A27" s="6">
        <v>3.2</v>
      </c>
      <c r="B27" s="5" t="s">
        <v>15</v>
      </c>
      <c r="C27" s="13" t="s">
        <v>57</v>
      </c>
      <c r="D27" s="46">
        <f>353626/77549.72*2653.4</f>
        <v>12099.479255373199</v>
      </c>
      <c r="E27" s="27">
        <f>D27/H19/12</f>
        <v>0.3799992228641616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36"/>
      <c r="AQ27" s="40"/>
      <c r="AR27" s="40"/>
    </row>
    <row r="28" spans="1:44" ht="25.5">
      <c r="A28" s="9">
        <v>3.3</v>
      </c>
      <c r="B28" s="5" t="s">
        <v>16</v>
      </c>
      <c r="C28" s="13" t="s">
        <v>59</v>
      </c>
      <c r="D28" s="46">
        <f>158201/77549.72*2653.4</f>
        <v>5412.921328407117</v>
      </c>
      <c r="E28" s="27">
        <f>D28/H19/12</f>
        <v>0.1699995392203436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36"/>
      <c r="AQ28" s="40"/>
      <c r="AR28" s="40"/>
    </row>
    <row r="29" spans="1:44" ht="34.5" customHeight="1">
      <c r="A29" s="6" t="s">
        <v>68</v>
      </c>
      <c r="B29" s="5" t="s">
        <v>17</v>
      </c>
      <c r="C29" s="13" t="s">
        <v>56</v>
      </c>
      <c r="D29" s="46"/>
      <c r="E29" s="27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6"/>
      <c r="AQ29" s="40"/>
      <c r="AR29" s="40"/>
    </row>
    <row r="30" spans="1:44" ht="34.5" customHeight="1">
      <c r="A30" s="6" t="s">
        <v>69</v>
      </c>
      <c r="B30" s="5" t="s">
        <v>70</v>
      </c>
      <c r="C30" s="13"/>
      <c r="D30" s="46"/>
      <c r="E30" s="27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6"/>
      <c r="AQ30" s="40"/>
      <c r="AR30" s="40"/>
    </row>
    <row r="31" spans="1:44" ht="41.25" customHeight="1">
      <c r="A31" s="6" t="s">
        <v>71</v>
      </c>
      <c r="B31" s="5" t="s">
        <v>72</v>
      </c>
      <c r="C31" s="13"/>
      <c r="D31" s="46"/>
      <c r="E31" s="27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6"/>
      <c r="AQ31" s="40"/>
      <c r="AR31" s="40"/>
    </row>
    <row r="32" spans="1:44" ht="25.5">
      <c r="A32" s="9">
        <v>3.7</v>
      </c>
      <c r="B32" s="5" t="s">
        <v>18</v>
      </c>
      <c r="C32" s="13" t="s">
        <v>57</v>
      </c>
      <c r="D32" s="46">
        <f>2345097/77549.72*2653.4</f>
        <v>80238.59247718754</v>
      </c>
      <c r="E32" s="27">
        <f>D32/H19/12</f>
        <v>2.5199929799875487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36"/>
      <c r="AQ32" s="40"/>
      <c r="AR32" s="40"/>
    </row>
    <row r="33" spans="1:44" ht="25.5">
      <c r="A33" s="6">
        <v>3.8</v>
      </c>
      <c r="B33" s="5" t="s">
        <v>64</v>
      </c>
      <c r="C33" s="13" t="s">
        <v>57</v>
      </c>
      <c r="D33" s="46">
        <f>651416/77549.72*2653.4</f>
        <v>22288.50361290795</v>
      </c>
      <c r="E33" s="27">
        <f>D33/H19/12</f>
        <v>0.6999982290931116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36"/>
      <c r="AQ33" s="40"/>
      <c r="AR33" s="40"/>
    </row>
    <row r="34" spans="1:44" ht="25.5">
      <c r="A34" s="9">
        <v>3.9</v>
      </c>
      <c r="B34" s="5" t="s">
        <v>19</v>
      </c>
      <c r="C34" s="13" t="s">
        <v>57</v>
      </c>
      <c r="D34" s="46">
        <f>697946/77549.72*2653.4</f>
        <v>23880.549361106656</v>
      </c>
      <c r="E34" s="27">
        <f>D34/H19/12</f>
        <v>0.7499984096224547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36"/>
      <c r="AQ34" s="40"/>
      <c r="AR34" s="40"/>
    </row>
    <row r="35" spans="1:44" ht="25.5">
      <c r="A35" s="6" t="s">
        <v>30</v>
      </c>
      <c r="B35" s="5" t="s">
        <v>65</v>
      </c>
      <c r="C35" s="13" t="s">
        <v>57</v>
      </c>
      <c r="D35" s="46"/>
      <c r="E35" s="27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36"/>
      <c r="AQ35" s="40"/>
      <c r="AR35" s="40"/>
    </row>
    <row r="36" spans="1:44" ht="25.5">
      <c r="A36" s="6" t="s">
        <v>31</v>
      </c>
      <c r="B36" s="5" t="s">
        <v>66</v>
      </c>
      <c r="C36" s="13"/>
      <c r="D36" s="46"/>
      <c r="E36" s="27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36"/>
      <c r="AQ36" s="40"/>
      <c r="AR36" s="40"/>
    </row>
    <row r="37" spans="1:44" ht="40.5" customHeight="1">
      <c r="A37" s="6" t="s">
        <v>32</v>
      </c>
      <c r="B37" s="5" t="s">
        <v>20</v>
      </c>
      <c r="C37" s="13"/>
      <c r="D37" s="46"/>
      <c r="E37" s="27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36"/>
      <c r="AQ37" s="40"/>
      <c r="AR37" s="40"/>
    </row>
    <row r="38" spans="1:44" ht="51">
      <c r="A38" s="6" t="s">
        <v>33</v>
      </c>
      <c r="B38" s="5" t="s">
        <v>21</v>
      </c>
      <c r="C38" s="13" t="s">
        <v>58</v>
      </c>
      <c r="D38" s="46">
        <f>2373015/77549.72*2653.4</f>
        <v>81193.81992610676</v>
      </c>
      <c r="E38" s="27">
        <f>D38/H19/12</f>
        <v>2.5499930883051545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36"/>
      <c r="AQ38" s="40"/>
      <c r="AR38" s="40"/>
    </row>
    <row r="39" spans="1:44" ht="33" customHeight="1">
      <c r="A39" s="6" t="s">
        <v>34</v>
      </c>
      <c r="B39" s="5" t="s">
        <v>73</v>
      </c>
      <c r="C39" s="13"/>
      <c r="D39" s="46"/>
      <c r="E39" s="27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36"/>
      <c r="AQ39" s="40"/>
      <c r="AR39" s="40"/>
    </row>
    <row r="40" spans="1:44" ht="41.25" customHeight="1">
      <c r="A40" s="6" t="s">
        <v>35</v>
      </c>
      <c r="B40" s="5" t="s">
        <v>22</v>
      </c>
      <c r="C40" s="13"/>
      <c r="D40" s="46"/>
      <c r="E40" s="27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36"/>
      <c r="AQ40" s="40"/>
      <c r="AR40" s="40"/>
    </row>
    <row r="41" spans="1:44" ht="41.25" customHeight="1">
      <c r="A41" s="6" t="s">
        <v>36</v>
      </c>
      <c r="B41" s="5" t="s">
        <v>74</v>
      </c>
      <c r="C41" s="13"/>
      <c r="D41" s="46"/>
      <c r="E41" s="27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36"/>
      <c r="AQ41" s="40"/>
      <c r="AR41" s="40"/>
    </row>
    <row r="42" spans="1:44" ht="40.5" customHeight="1">
      <c r="A42" s="6" t="s">
        <v>37</v>
      </c>
      <c r="B42" s="5" t="s">
        <v>75</v>
      </c>
      <c r="C42" s="13" t="s">
        <v>54</v>
      </c>
      <c r="D42" s="47">
        <f>2696000/77549.72*2653.4</f>
        <v>92244.90301189998</v>
      </c>
      <c r="E42" s="27">
        <f>D42/H19/12</f>
        <v>2.8970661230842185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36"/>
      <c r="AQ42" s="40"/>
      <c r="AR42" s="40"/>
    </row>
    <row r="43" spans="1:44" ht="51">
      <c r="A43" s="6" t="s">
        <v>38</v>
      </c>
      <c r="B43" s="5" t="s">
        <v>67</v>
      </c>
      <c r="C43" s="13"/>
      <c r="D43" s="46"/>
      <c r="E43" s="27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36"/>
      <c r="AQ43" s="40"/>
      <c r="AR43" s="40"/>
    </row>
    <row r="44" spans="1:44" ht="40.5" customHeight="1">
      <c r="A44" s="6" t="s">
        <v>39</v>
      </c>
      <c r="B44" s="5" t="s">
        <v>76</v>
      </c>
      <c r="C44" s="13"/>
      <c r="D44" s="46"/>
      <c r="E44" s="27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36"/>
      <c r="AQ44" s="40"/>
      <c r="AR44" s="40"/>
    </row>
    <row r="45" spans="1:44" ht="39" customHeight="1">
      <c r="A45" s="6" t="s">
        <v>40</v>
      </c>
      <c r="B45" s="5" t="s">
        <v>77</v>
      </c>
      <c r="C45" s="13" t="s">
        <v>54</v>
      </c>
      <c r="D45" s="29">
        <f>1448000/77549.72*2653.4</f>
        <v>49543.99835357239</v>
      </c>
      <c r="E45" s="27">
        <f>D45/H19/12</f>
        <v>1.5559910037930074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36"/>
      <c r="AQ45" s="40"/>
      <c r="AR45" s="40"/>
    </row>
    <row r="46" spans="1:44" ht="39" customHeight="1">
      <c r="A46" s="6" t="s">
        <v>41</v>
      </c>
      <c r="B46" s="5" t="s">
        <v>78</v>
      </c>
      <c r="C46" s="13"/>
      <c r="D46" s="29"/>
      <c r="E46" s="27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36"/>
      <c r="AQ46" s="40"/>
      <c r="AR46" s="40"/>
    </row>
    <row r="47" spans="1:44" ht="25.5">
      <c r="A47" s="6" t="s">
        <v>42</v>
      </c>
      <c r="B47" s="5" t="s">
        <v>62</v>
      </c>
      <c r="C47" s="13" t="s">
        <v>54</v>
      </c>
      <c r="D47" s="46"/>
      <c r="E47" s="27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36"/>
      <c r="AQ47" s="40"/>
      <c r="AR47" s="40"/>
    </row>
    <row r="48" spans="1:44" ht="25.5">
      <c r="A48" s="6" t="s">
        <v>43</v>
      </c>
      <c r="B48" s="7" t="s">
        <v>63</v>
      </c>
      <c r="C48" s="13" t="s">
        <v>54</v>
      </c>
      <c r="D48" s="46">
        <f>13972201/77549.72*2653.4</f>
        <v>478065.4028589658</v>
      </c>
      <c r="E48" s="27">
        <f>D48/H19/12</f>
        <v>15.014239681759435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36"/>
      <c r="AQ48" s="40"/>
      <c r="AR48" s="40"/>
    </row>
    <row r="49" spans="1:44" ht="25.5">
      <c r="A49" s="6" t="s">
        <v>46</v>
      </c>
      <c r="B49" s="5" t="s">
        <v>23</v>
      </c>
      <c r="C49" s="13" t="s">
        <v>60</v>
      </c>
      <c r="D49" s="46">
        <f>465297/77549.72*2653.4</f>
        <v>15920.354835581611</v>
      </c>
      <c r="E49" s="27">
        <f>D49/H19/12</f>
        <v>0.49999858155516225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36"/>
      <c r="AQ49" s="40"/>
      <c r="AR49" s="40"/>
    </row>
    <row r="50" spans="1:44" ht="25.5">
      <c r="A50" s="6" t="s">
        <v>79</v>
      </c>
      <c r="B50" s="5" t="s">
        <v>24</v>
      </c>
      <c r="C50" s="13" t="s">
        <v>61</v>
      </c>
      <c r="D50" s="46">
        <f>5667319/77549.72*2653.4</f>
        <v>193909.9745892055</v>
      </c>
      <c r="E50" s="27">
        <f>D50/H19/12</f>
        <v>6.089984378194187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36"/>
      <c r="AQ50" s="40"/>
      <c r="AR50" s="40"/>
    </row>
    <row r="51" spans="1:44" ht="38.25">
      <c r="A51" s="6" t="s">
        <v>80</v>
      </c>
      <c r="B51" s="5" t="s">
        <v>25</v>
      </c>
      <c r="C51" s="17" t="s">
        <v>55</v>
      </c>
      <c r="D51" s="29">
        <f>2308000/77549.72*2653.4</f>
        <v>78969.30124312505</v>
      </c>
      <c r="E51" s="27">
        <f>D51/H19/12</f>
        <v>2.4801293071507327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36"/>
      <c r="AQ51" s="40"/>
      <c r="AR51" s="40"/>
    </row>
    <row r="52" spans="1:44" ht="25.5">
      <c r="A52" s="6" t="s">
        <v>81</v>
      </c>
      <c r="B52" s="5" t="s">
        <v>26</v>
      </c>
      <c r="C52" s="13" t="s">
        <v>54</v>
      </c>
      <c r="D52" s="29">
        <f>9000/77549.72*2653.4</f>
        <v>307.9392162860163</v>
      </c>
      <c r="E52" s="27">
        <f>D52/H19/12</f>
        <v>0.009671214802580848</v>
      </c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36"/>
      <c r="AQ52" s="40"/>
      <c r="AR52" s="40"/>
    </row>
    <row r="53" spans="1:44" ht="38.25">
      <c r="A53" s="6" t="s">
        <v>82</v>
      </c>
      <c r="B53" s="5" t="s">
        <v>27</v>
      </c>
      <c r="C53" s="14" t="s">
        <v>54</v>
      </c>
      <c r="D53" s="29">
        <f>1414507/77549.72*2653.4</f>
        <v>48398.019667898225</v>
      </c>
      <c r="E53" s="27">
        <f>D53/H19/12</f>
        <v>1.5200001151949143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36"/>
      <c r="AQ53" s="40"/>
      <c r="AR53" s="40"/>
    </row>
    <row r="54" spans="1:44" ht="25.5">
      <c r="A54" s="6" t="s">
        <v>44</v>
      </c>
      <c r="B54" s="5" t="s">
        <v>28</v>
      </c>
      <c r="C54" s="15" t="s">
        <v>54</v>
      </c>
      <c r="D54" s="46"/>
      <c r="E54" s="27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36"/>
      <c r="AQ54" s="40"/>
      <c r="AR54" s="40"/>
    </row>
    <row r="55" spans="1:44" ht="38.25">
      <c r="A55" s="6" t="s">
        <v>48</v>
      </c>
      <c r="B55" s="5" t="s">
        <v>49</v>
      </c>
      <c r="C55" s="13" t="s">
        <v>52</v>
      </c>
      <c r="D55" s="46"/>
      <c r="E55" s="27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36"/>
      <c r="AQ55" s="40"/>
      <c r="AR55" s="40"/>
    </row>
    <row r="56" spans="1:44" ht="38.25">
      <c r="A56" s="6" t="s">
        <v>50</v>
      </c>
      <c r="B56" s="5" t="s">
        <v>51</v>
      </c>
      <c r="C56" s="13" t="s">
        <v>52</v>
      </c>
      <c r="D56" s="46"/>
      <c r="E56" s="27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36"/>
      <c r="AQ56" s="40"/>
      <c r="AR56" s="40"/>
    </row>
    <row r="57" spans="4:5" ht="15">
      <c r="D57" s="12"/>
      <c r="E57" s="22"/>
    </row>
    <row r="58" spans="4:5" ht="15">
      <c r="D58" s="12"/>
      <c r="E58" s="22"/>
    </row>
    <row r="59" spans="4:5" ht="15">
      <c r="D59" s="12"/>
      <c r="E59" s="22"/>
    </row>
    <row r="60" spans="4:5" ht="15">
      <c r="D60" s="12"/>
      <c r="E60" s="22"/>
    </row>
    <row r="61" spans="4:5" ht="15">
      <c r="D61" s="12"/>
      <c r="E61" s="22"/>
    </row>
    <row r="62" spans="4:5" ht="15">
      <c r="D62" s="12"/>
      <c r="E62" s="22"/>
    </row>
    <row r="63" spans="4:5" ht="15">
      <c r="D63" s="12"/>
      <c r="E63" s="22"/>
    </row>
    <row r="64" spans="4:5" ht="15">
      <c r="D64" s="12"/>
      <c r="E64" s="22"/>
    </row>
    <row r="65" spans="4:5" ht="15">
      <c r="D65" s="12"/>
      <c r="E65" s="22"/>
    </row>
    <row r="66" spans="4:5" ht="15">
      <c r="D66" s="12"/>
      <c r="E66" s="22"/>
    </row>
    <row r="67" spans="4:5" ht="15">
      <c r="D67" s="12"/>
      <c r="E67" s="22"/>
    </row>
    <row r="68" spans="4:5" ht="15">
      <c r="D68" s="12"/>
      <c r="E68" s="22"/>
    </row>
    <row r="69" spans="4:5" ht="15">
      <c r="D69" s="12"/>
      <c r="E69" s="22"/>
    </row>
    <row r="70" spans="4:5" ht="15">
      <c r="D70" s="12"/>
      <c r="E70" s="22"/>
    </row>
    <row r="71" spans="4:5" ht="15">
      <c r="D71" s="12"/>
      <c r="E71" s="22"/>
    </row>
    <row r="72" spans="4:5" ht="15">
      <c r="D72" s="12"/>
      <c r="E72" s="22"/>
    </row>
    <row r="73" spans="4:5" ht="15">
      <c r="D73" s="12"/>
      <c r="E73" s="22"/>
    </row>
    <row r="74" spans="4:5" ht="15">
      <c r="D74" s="12"/>
      <c r="E74" s="22"/>
    </row>
    <row r="75" spans="4:5" ht="15">
      <c r="D75" s="12"/>
      <c r="E75" s="22"/>
    </row>
    <row r="76" spans="4:5" ht="15">
      <c r="D76" s="12"/>
      <c r="E76" s="22"/>
    </row>
    <row r="77" spans="4:5" ht="15">
      <c r="D77" s="12"/>
      <c r="E77" s="22"/>
    </row>
    <row r="78" spans="4:5" ht="15">
      <c r="D78" s="12"/>
      <c r="E78" s="22"/>
    </row>
    <row r="79" spans="4:5" ht="15">
      <c r="D79" s="12"/>
      <c r="E79" s="22"/>
    </row>
    <row r="80" spans="4:5" ht="15">
      <c r="D80" s="12"/>
      <c r="E80" s="22"/>
    </row>
    <row r="81" spans="4:5" ht="15">
      <c r="D81" s="12"/>
      <c r="E81" s="22"/>
    </row>
    <row r="82" spans="4:5" ht="15">
      <c r="D82" s="12"/>
      <c r="E82" s="22"/>
    </row>
    <row r="83" spans="4:5" ht="15">
      <c r="D83" s="12"/>
      <c r="E83" s="22"/>
    </row>
    <row r="84" spans="4:5" ht="15">
      <c r="D84" s="12"/>
      <c r="E84" s="22"/>
    </row>
    <row r="85" spans="4:5" ht="15">
      <c r="D85" s="12"/>
      <c r="E85" s="22"/>
    </row>
    <row r="86" spans="4:5" ht="15">
      <c r="D86" s="12"/>
      <c r="E86" s="22"/>
    </row>
    <row r="87" spans="4:5" ht="15">
      <c r="D87" s="12"/>
      <c r="E87" s="22"/>
    </row>
    <row r="88" spans="4:5" ht="15">
      <c r="D88" s="12"/>
      <c r="E88" s="22"/>
    </row>
    <row r="89" spans="4:5" ht="15">
      <c r="D89" s="12"/>
      <c r="E89" s="22"/>
    </row>
    <row r="90" spans="4:5" ht="15">
      <c r="D90" s="12"/>
      <c r="E90" s="22"/>
    </row>
    <row r="91" spans="4:5" ht="15">
      <c r="D91" s="12"/>
      <c r="E91" s="22"/>
    </row>
    <row r="92" spans="4:5" ht="15">
      <c r="D92" s="12"/>
      <c r="E92" s="22"/>
    </row>
    <row r="93" spans="4:5" ht="15">
      <c r="D93" s="12"/>
      <c r="E93" s="22"/>
    </row>
    <row r="94" spans="4:5" ht="15">
      <c r="D94" s="12"/>
      <c r="E94" s="22"/>
    </row>
    <row r="95" spans="4:5" ht="15">
      <c r="D95" s="12"/>
      <c r="E95" s="22"/>
    </row>
    <row r="96" spans="4:5" ht="15">
      <c r="D96" s="12"/>
      <c r="E96" s="22"/>
    </row>
    <row r="97" spans="4:5" ht="15">
      <c r="D97" s="12"/>
      <c r="E97" s="22"/>
    </row>
    <row r="98" spans="4:5" ht="15">
      <c r="D98" s="12"/>
      <c r="E98" s="22"/>
    </row>
    <row r="99" spans="4:5" ht="15">
      <c r="D99" s="12"/>
      <c r="E99" s="22"/>
    </row>
    <row r="100" spans="4:5" ht="15">
      <c r="D100" s="12"/>
      <c r="E100" s="22"/>
    </row>
    <row r="101" spans="4:5" ht="15">
      <c r="D101" s="12"/>
      <c r="E101" s="22"/>
    </row>
    <row r="102" spans="4:5" ht="15">
      <c r="D102" s="12"/>
      <c r="E102" s="22"/>
    </row>
    <row r="103" spans="4:5" ht="15">
      <c r="D103" s="12"/>
      <c r="E103" s="22"/>
    </row>
    <row r="104" spans="4:5" ht="15">
      <c r="D104" s="12"/>
      <c r="E104" s="22"/>
    </row>
    <row r="105" spans="4:5" ht="15">
      <c r="D105" s="12"/>
      <c r="E105" s="22"/>
    </row>
    <row r="106" spans="4:5" ht="15">
      <c r="D106" s="12"/>
      <c r="E106" s="22"/>
    </row>
    <row r="107" spans="4:5" ht="15">
      <c r="D107" s="12"/>
      <c r="E107" s="22"/>
    </row>
    <row r="108" spans="4:5" ht="15">
      <c r="D108" s="12"/>
      <c r="E108" s="22"/>
    </row>
    <row r="109" spans="4:5" ht="15">
      <c r="D109" s="12"/>
      <c r="E109" s="22"/>
    </row>
    <row r="110" spans="4:5" ht="15">
      <c r="D110" s="12"/>
      <c r="E110" s="22"/>
    </row>
    <row r="111" spans="4:5" ht="15">
      <c r="D111" s="12"/>
      <c r="E111" s="22"/>
    </row>
    <row r="112" spans="4:5" ht="15">
      <c r="D112" s="12"/>
      <c r="E112" s="22"/>
    </row>
    <row r="113" spans="4:5" ht="15">
      <c r="D113" s="12"/>
      <c r="E113" s="22"/>
    </row>
    <row r="114" spans="4:5" ht="15">
      <c r="D114" s="12"/>
      <c r="E114" s="22"/>
    </row>
    <row r="115" spans="4:5" ht="15">
      <c r="D115" s="12"/>
      <c r="E115" s="22"/>
    </row>
    <row r="116" spans="4:5" ht="15">
      <c r="D116" s="12"/>
      <c r="E116" s="22"/>
    </row>
    <row r="117" spans="4:5" ht="15">
      <c r="D117" s="12"/>
      <c r="E117" s="22"/>
    </row>
    <row r="118" spans="4:5" ht="15">
      <c r="D118" s="12"/>
      <c r="E118" s="22"/>
    </row>
    <row r="119" spans="4:5" ht="15">
      <c r="D119" s="12"/>
      <c r="E119" s="22"/>
    </row>
    <row r="120" spans="4:5" ht="15">
      <c r="D120" s="12"/>
      <c r="E120" s="22"/>
    </row>
    <row r="121" spans="4:5" ht="15">
      <c r="D121" s="12"/>
      <c r="E121" s="22"/>
    </row>
    <row r="122" spans="4:5" ht="15">
      <c r="D122" s="12"/>
      <c r="E122" s="22"/>
    </row>
    <row r="123" spans="4:5" ht="15">
      <c r="D123" s="12"/>
      <c r="E123" s="22"/>
    </row>
    <row r="124" spans="4:5" ht="15">
      <c r="D124" s="12"/>
      <c r="E124" s="22"/>
    </row>
    <row r="125" spans="4:5" ht="15">
      <c r="D125" s="12"/>
      <c r="E125" s="22"/>
    </row>
    <row r="126" spans="4:5" ht="15">
      <c r="D126" s="12"/>
      <c r="E126" s="22"/>
    </row>
    <row r="127" spans="4:5" ht="15">
      <c r="D127" s="12"/>
      <c r="E127" s="22"/>
    </row>
    <row r="128" spans="4:5" ht="15">
      <c r="D128" s="12"/>
      <c r="E128" s="22"/>
    </row>
    <row r="129" spans="4:5" ht="15">
      <c r="D129" s="12"/>
      <c r="E129" s="22"/>
    </row>
    <row r="130" spans="4:5" ht="15">
      <c r="D130" s="12"/>
      <c r="E130" s="22"/>
    </row>
  </sheetData>
  <sheetProtection/>
  <mergeCells count="16">
    <mergeCell ref="A14:F14"/>
    <mergeCell ref="A15:F15"/>
    <mergeCell ref="A21:A22"/>
    <mergeCell ref="B21:B22"/>
    <mergeCell ref="D21:D22"/>
    <mergeCell ref="E21:E22"/>
    <mergeCell ref="A16:F16"/>
    <mergeCell ref="A17:F17"/>
    <mergeCell ref="A8:B8"/>
    <mergeCell ref="E8:F8"/>
    <mergeCell ref="A9:B9"/>
    <mergeCell ref="D9:F9"/>
    <mergeCell ref="A10:B10"/>
    <mergeCell ref="D10:F10"/>
    <mergeCell ref="A11:B11"/>
    <mergeCell ref="A12:B12"/>
  </mergeCells>
  <printOptions/>
  <pageMargins left="1.1811023622047245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R130"/>
  <sheetViews>
    <sheetView zoomScalePageLayoutView="0" workbookViewId="0" topLeftCell="A8">
      <selection activeCell="I23" sqref="I23"/>
    </sheetView>
  </sheetViews>
  <sheetFormatPr defaultColWidth="9.140625" defaultRowHeight="15"/>
  <cols>
    <col min="1" max="1" width="5.8515625" style="4" customWidth="1"/>
    <col min="2" max="2" width="38.00390625" style="4" customWidth="1"/>
    <col min="3" max="3" width="17.7109375" style="4" hidden="1" customWidth="1"/>
    <col min="4" max="4" width="16.140625" style="4" customWidth="1"/>
    <col min="5" max="5" width="15.140625" style="19" customWidth="1"/>
    <col min="6" max="6" width="0.42578125" style="30" customWidth="1"/>
    <col min="7" max="7" width="10.57421875" style="31" customWidth="1"/>
    <col min="8" max="8" width="10.421875" style="31" customWidth="1"/>
    <col min="9" max="9" width="10.00390625" style="31" customWidth="1"/>
    <col min="10" max="10" width="9.8515625" style="31" customWidth="1"/>
    <col min="11" max="11" width="9.28125" style="31" customWidth="1"/>
    <col min="12" max="14" width="9.8515625" style="31" customWidth="1"/>
    <col min="15" max="23" width="9.8515625" style="31" hidden="1" customWidth="1"/>
    <col min="24" max="39" width="9.8515625" style="31" customWidth="1"/>
    <col min="40" max="40" width="11.421875" style="31" customWidth="1"/>
    <col min="41" max="41" width="11.00390625" style="31" customWidth="1"/>
    <col min="42" max="42" width="11.140625" style="31" customWidth="1"/>
    <col min="43" max="44" width="9.140625" style="31" customWidth="1"/>
    <col min="45" max="16384" width="9.140625" style="4" customWidth="1"/>
  </cols>
  <sheetData>
    <row r="1" spans="1:5" ht="15.75" hidden="1">
      <c r="A1" s="1" t="s">
        <v>0</v>
      </c>
      <c r="E1" s="18" t="s">
        <v>9</v>
      </c>
    </row>
    <row r="2" spans="1:5" ht="15.75" hidden="1">
      <c r="A2" s="1" t="s">
        <v>1</v>
      </c>
      <c r="E2" s="18" t="s">
        <v>11</v>
      </c>
    </row>
    <row r="3" spans="1:5" ht="15.75" hidden="1">
      <c r="A3" s="1" t="s">
        <v>2</v>
      </c>
      <c r="E3" s="18" t="s">
        <v>10</v>
      </c>
    </row>
    <row r="4" ht="15.75" hidden="1">
      <c r="A4" s="1" t="s">
        <v>3</v>
      </c>
    </row>
    <row r="5" ht="15" hidden="1"/>
    <row r="6" spans="1:5" ht="93.75" hidden="1">
      <c r="A6" s="2" t="s">
        <v>12</v>
      </c>
      <c r="B6" s="3"/>
      <c r="C6" s="3"/>
      <c r="D6" s="3"/>
      <c r="E6" s="20"/>
    </row>
    <row r="7" spans="1:5" ht="15" hidden="1">
      <c r="A7" s="3" t="s">
        <v>53</v>
      </c>
      <c r="B7" s="3"/>
      <c r="C7" s="3"/>
      <c r="D7" s="3"/>
      <c r="E7" s="21"/>
    </row>
    <row r="8" spans="1:6" ht="15.75" customHeight="1">
      <c r="A8" s="60" t="s">
        <v>0</v>
      </c>
      <c r="B8" s="61"/>
      <c r="C8" s="52"/>
      <c r="D8" s="53"/>
      <c r="E8" s="62" t="s">
        <v>9</v>
      </c>
      <c r="F8" s="63"/>
    </row>
    <row r="9" spans="1:6" ht="15">
      <c r="A9" s="61" t="s">
        <v>83</v>
      </c>
      <c r="B9" s="61"/>
      <c r="C9" s="52"/>
      <c r="D9" s="64" t="s">
        <v>114</v>
      </c>
      <c r="E9" s="63"/>
      <c r="F9" s="63"/>
    </row>
    <row r="10" spans="1:6" ht="15">
      <c r="A10" s="61" t="s">
        <v>84</v>
      </c>
      <c r="B10" s="61"/>
      <c r="C10" s="52"/>
      <c r="D10" s="64" t="s">
        <v>118</v>
      </c>
      <c r="E10" s="63"/>
      <c r="F10" s="63"/>
    </row>
    <row r="11" spans="1:5" ht="15">
      <c r="A11" s="61" t="s">
        <v>2</v>
      </c>
      <c r="B11" s="61"/>
      <c r="C11" s="52"/>
      <c r="D11" s="52"/>
      <c r="E11" s="21"/>
    </row>
    <row r="12" spans="1:5" ht="15" customHeight="1">
      <c r="A12" s="61" t="s">
        <v>150</v>
      </c>
      <c r="B12" s="61"/>
      <c r="C12" s="52"/>
      <c r="D12" s="52"/>
      <c r="E12" s="21"/>
    </row>
    <row r="13" spans="1:5" ht="15">
      <c r="A13" s="54"/>
      <c r="B13" s="54"/>
      <c r="C13" s="52"/>
      <c r="D13" s="52"/>
      <c r="E13" s="21"/>
    </row>
    <row r="14" spans="1:6" ht="15">
      <c r="A14" s="65" t="s">
        <v>86</v>
      </c>
      <c r="B14" s="65"/>
      <c r="C14" s="65"/>
      <c r="D14" s="65"/>
      <c r="E14" s="65"/>
      <c r="F14" s="65"/>
    </row>
    <row r="15" spans="1:6" ht="15">
      <c r="A15" s="65" t="s">
        <v>87</v>
      </c>
      <c r="B15" s="65"/>
      <c r="C15" s="65"/>
      <c r="D15" s="65"/>
      <c r="E15" s="65"/>
      <c r="F15" s="65"/>
    </row>
    <row r="16" spans="1:6" ht="15">
      <c r="A16" s="65" t="s">
        <v>88</v>
      </c>
      <c r="B16" s="65"/>
      <c r="C16" s="65"/>
      <c r="D16" s="65"/>
      <c r="E16" s="65"/>
      <c r="F16" s="65"/>
    </row>
    <row r="17" spans="1:6" ht="15">
      <c r="A17" s="80" t="s">
        <v>102</v>
      </c>
      <c r="B17" s="81"/>
      <c r="C17" s="81"/>
      <c r="D17" s="81"/>
      <c r="E17" s="81"/>
      <c r="F17" s="81"/>
    </row>
    <row r="18" spans="1:5" ht="15">
      <c r="A18" s="3"/>
      <c r="B18" s="3"/>
      <c r="C18" s="3"/>
      <c r="D18" s="3"/>
      <c r="E18" s="55"/>
    </row>
    <row r="19" spans="1:9" ht="28.5">
      <c r="A19" s="10" t="s">
        <v>47</v>
      </c>
      <c r="B19" s="3"/>
      <c r="C19" s="3"/>
      <c r="D19" s="3"/>
      <c r="E19" s="48"/>
      <c r="H19" s="51">
        <v>1789.2</v>
      </c>
      <c r="I19" s="31">
        <v>77549.72</v>
      </c>
    </row>
    <row r="20" ht="15">
      <c r="D20" s="16"/>
    </row>
    <row r="21" spans="1:42" ht="42" customHeight="1">
      <c r="A21" s="74" t="s">
        <v>8</v>
      </c>
      <c r="B21" s="74" t="s">
        <v>4</v>
      </c>
      <c r="C21" s="28" t="s">
        <v>5</v>
      </c>
      <c r="D21" s="75" t="s">
        <v>6</v>
      </c>
      <c r="E21" s="77" t="s">
        <v>7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3"/>
    </row>
    <row r="22" spans="1:42" ht="14.25" customHeight="1">
      <c r="A22" s="74"/>
      <c r="B22" s="74"/>
      <c r="C22" s="28"/>
      <c r="D22" s="76"/>
      <c r="E22" s="77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6"/>
    </row>
    <row r="23" spans="1:44" s="11" customFormat="1" ht="51">
      <c r="A23" s="23">
        <v>1</v>
      </c>
      <c r="B23" s="24" t="s">
        <v>13</v>
      </c>
      <c r="C23" s="25"/>
      <c r="D23" s="44">
        <f>D24+D25+D54+D55</f>
        <v>841316.1857502514</v>
      </c>
      <c r="E23" s="50">
        <f>E24+E25+E54+E55</f>
        <v>39.18493301243812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6"/>
      <c r="AQ23" s="38"/>
      <c r="AR23" s="38"/>
    </row>
    <row r="24" spans="1:44" ht="51.75" customHeight="1">
      <c r="A24" s="8">
        <v>2</v>
      </c>
      <c r="B24" s="5" t="s">
        <v>45</v>
      </c>
      <c r="C24" s="13" t="s">
        <v>54</v>
      </c>
      <c r="D24" s="45">
        <f>1905742/77549.72*1789.2</f>
        <v>43968.61247725975</v>
      </c>
      <c r="E24" s="26">
        <f>D24/H19/12</f>
        <v>2.0478711378111143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6"/>
      <c r="AQ24" s="40"/>
      <c r="AR24" s="40"/>
    </row>
    <row r="25" spans="1:44" ht="25.5">
      <c r="A25" s="8">
        <v>3</v>
      </c>
      <c r="B25" s="5" t="s">
        <v>29</v>
      </c>
      <c r="C25" s="13"/>
      <c r="D25" s="45">
        <f>D26+D27+D28+D29+D30+D31+D32+D33+D34+D35+D36+D37+D38+D39+D40+D41+D42+D43+D44+D45+D46+D47+D48+D49+D50+D51+D52+D53+D54+D55+D56</f>
        <v>797347.5732729917</v>
      </c>
      <c r="E25" s="26">
        <f>SUM(E26:E56)</f>
        <v>37.13706187462701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0"/>
      <c r="AR25" s="40"/>
    </row>
    <row r="26" spans="1:44" ht="25.5">
      <c r="A26" s="9">
        <v>3.1</v>
      </c>
      <c r="B26" s="5" t="s">
        <v>14</v>
      </c>
      <c r="C26" s="13"/>
      <c r="D26" s="46"/>
      <c r="E26" s="27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6"/>
      <c r="AQ26" s="40"/>
      <c r="AR26" s="40"/>
    </row>
    <row r="27" spans="1:44" ht="24">
      <c r="A27" s="6">
        <v>3.2</v>
      </c>
      <c r="B27" s="5" t="s">
        <v>15</v>
      </c>
      <c r="C27" s="13" t="s">
        <v>57</v>
      </c>
      <c r="D27" s="46">
        <f>353626/77549.72*1789.2</f>
        <v>8158.7353145826955</v>
      </c>
      <c r="E27" s="27">
        <f>D27/H19/12</f>
        <v>0.3799992228641616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36"/>
      <c r="AQ27" s="40"/>
      <c r="AR27" s="40"/>
    </row>
    <row r="28" spans="1:44" ht="25.5">
      <c r="A28" s="9">
        <v>3.3</v>
      </c>
      <c r="B28" s="5" t="s">
        <v>16</v>
      </c>
      <c r="C28" s="13" t="s">
        <v>59</v>
      </c>
      <c r="D28" s="46">
        <f>158201/77549.72*1789.2</f>
        <v>3649.9581068764655</v>
      </c>
      <c r="E28" s="27">
        <f>D28/H19/12</f>
        <v>0.1699995392203436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36"/>
      <c r="AQ28" s="40"/>
      <c r="AR28" s="40"/>
    </row>
    <row r="29" spans="1:44" ht="34.5" customHeight="1">
      <c r="A29" s="6" t="s">
        <v>68</v>
      </c>
      <c r="B29" s="5" t="s">
        <v>17</v>
      </c>
      <c r="C29" s="13" t="s">
        <v>56</v>
      </c>
      <c r="D29" s="46"/>
      <c r="E29" s="27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6"/>
      <c r="AQ29" s="40"/>
      <c r="AR29" s="40"/>
    </row>
    <row r="30" spans="1:44" ht="34.5" customHeight="1">
      <c r="A30" s="6" t="s">
        <v>69</v>
      </c>
      <c r="B30" s="5" t="s">
        <v>70</v>
      </c>
      <c r="C30" s="13"/>
      <c r="D30" s="46"/>
      <c r="E30" s="27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6"/>
      <c r="AQ30" s="40"/>
      <c r="AR30" s="40"/>
    </row>
    <row r="31" spans="1:44" ht="41.25" customHeight="1">
      <c r="A31" s="6" t="s">
        <v>71</v>
      </c>
      <c r="B31" s="5" t="s">
        <v>72</v>
      </c>
      <c r="C31" s="13"/>
      <c r="D31" s="46"/>
      <c r="E31" s="27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6"/>
      <c r="AQ31" s="40"/>
      <c r="AR31" s="40"/>
    </row>
    <row r="32" spans="1:44" ht="25.5">
      <c r="A32" s="9">
        <v>3.7</v>
      </c>
      <c r="B32" s="5" t="s">
        <v>18</v>
      </c>
      <c r="C32" s="13" t="s">
        <v>57</v>
      </c>
      <c r="D32" s="46">
        <f>2345097/77549.72*1789.2</f>
        <v>54105.257277524666</v>
      </c>
      <c r="E32" s="27">
        <f>D32/H19/12</f>
        <v>2.5199929799875487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36"/>
      <c r="AQ32" s="40"/>
      <c r="AR32" s="40"/>
    </row>
    <row r="33" spans="1:44" ht="25.5">
      <c r="A33" s="6">
        <v>3.8</v>
      </c>
      <c r="B33" s="5" t="s">
        <v>64</v>
      </c>
      <c r="C33" s="13" t="s">
        <v>57</v>
      </c>
      <c r="D33" s="46">
        <f>651416/77549.72*1789.2</f>
        <v>15029.241977920745</v>
      </c>
      <c r="E33" s="27">
        <f>D33/H19/12</f>
        <v>0.6999982290931116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36"/>
      <c r="AQ33" s="40"/>
      <c r="AR33" s="40"/>
    </row>
    <row r="34" spans="1:44" ht="25.5">
      <c r="A34" s="9">
        <v>3.9</v>
      </c>
      <c r="B34" s="5" t="s">
        <v>19</v>
      </c>
      <c r="C34" s="13" t="s">
        <v>57</v>
      </c>
      <c r="D34" s="46">
        <f>697946/77549.72*1789.2</f>
        <v>16102.76585395795</v>
      </c>
      <c r="E34" s="27">
        <f>D34/H19/12</f>
        <v>0.7499984096224547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36"/>
      <c r="AQ34" s="40"/>
      <c r="AR34" s="40"/>
    </row>
    <row r="35" spans="1:44" ht="25.5">
      <c r="A35" s="6" t="s">
        <v>30</v>
      </c>
      <c r="B35" s="5" t="s">
        <v>65</v>
      </c>
      <c r="C35" s="13" t="s">
        <v>57</v>
      </c>
      <c r="D35" s="46"/>
      <c r="E35" s="27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36"/>
      <c r="AQ35" s="40"/>
      <c r="AR35" s="40"/>
    </row>
    <row r="36" spans="1:44" ht="25.5">
      <c r="A36" s="6" t="s">
        <v>31</v>
      </c>
      <c r="B36" s="5" t="s">
        <v>66</v>
      </c>
      <c r="C36" s="13"/>
      <c r="D36" s="46"/>
      <c r="E36" s="27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36"/>
      <c r="AQ36" s="40"/>
      <c r="AR36" s="40"/>
    </row>
    <row r="37" spans="1:44" ht="40.5" customHeight="1">
      <c r="A37" s="6" t="s">
        <v>32</v>
      </c>
      <c r="B37" s="5" t="s">
        <v>20</v>
      </c>
      <c r="C37" s="13"/>
      <c r="D37" s="46"/>
      <c r="E37" s="27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36"/>
      <c r="AQ37" s="40"/>
      <c r="AR37" s="40"/>
    </row>
    <row r="38" spans="1:44" ht="51">
      <c r="A38" s="6" t="s">
        <v>33</v>
      </c>
      <c r="B38" s="5" t="s">
        <v>21</v>
      </c>
      <c r="C38" s="13" t="s">
        <v>58</v>
      </c>
      <c r="D38" s="46">
        <f>2373015/77549.72*1789.2</f>
        <v>54749.37160314699</v>
      </c>
      <c r="E38" s="27">
        <f>D38/H19/12</f>
        <v>2.5499930883051545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36"/>
      <c r="AQ38" s="40"/>
      <c r="AR38" s="40"/>
    </row>
    <row r="39" spans="1:44" ht="33" customHeight="1">
      <c r="A39" s="6" t="s">
        <v>34</v>
      </c>
      <c r="B39" s="5" t="s">
        <v>73</v>
      </c>
      <c r="C39" s="13"/>
      <c r="D39" s="46"/>
      <c r="E39" s="27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36"/>
      <c r="AQ39" s="40"/>
      <c r="AR39" s="40"/>
    </row>
    <row r="40" spans="1:44" ht="41.25" customHeight="1">
      <c r="A40" s="6" t="s">
        <v>35</v>
      </c>
      <c r="B40" s="5" t="s">
        <v>22</v>
      </c>
      <c r="C40" s="13"/>
      <c r="D40" s="46"/>
      <c r="E40" s="27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36"/>
      <c r="AQ40" s="40"/>
      <c r="AR40" s="40"/>
    </row>
    <row r="41" spans="1:44" ht="41.25" customHeight="1">
      <c r="A41" s="6" t="s">
        <v>36</v>
      </c>
      <c r="B41" s="5" t="s">
        <v>74</v>
      </c>
      <c r="C41" s="13"/>
      <c r="D41" s="46"/>
      <c r="E41" s="27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36"/>
      <c r="AQ41" s="40"/>
      <c r="AR41" s="40"/>
    </row>
    <row r="42" spans="1:44" ht="40.5" customHeight="1">
      <c r="A42" s="6" t="s">
        <v>37</v>
      </c>
      <c r="B42" s="5" t="s">
        <v>75</v>
      </c>
      <c r="C42" s="13" t="s">
        <v>54</v>
      </c>
      <c r="D42" s="47">
        <f>2696000/77549.72*1789.2</f>
        <v>62201.1684890674</v>
      </c>
      <c r="E42" s="27">
        <f>D42/H19/12</f>
        <v>2.8970661230842185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36"/>
      <c r="AQ42" s="40"/>
      <c r="AR42" s="40"/>
    </row>
    <row r="43" spans="1:44" ht="51">
      <c r="A43" s="6" t="s">
        <v>38</v>
      </c>
      <c r="B43" s="5" t="s">
        <v>67</v>
      </c>
      <c r="C43" s="13"/>
      <c r="D43" s="46"/>
      <c r="E43" s="27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36"/>
      <c r="AQ43" s="40"/>
      <c r="AR43" s="40"/>
    </row>
    <row r="44" spans="1:44" ht="40.5" customHeight="1">
      <c r="A44" s="6" t="s">
        <v>39</v>
      </c>
      <c r="B44" s="5" t="s">
        <v>76</v>
      </c>
      <c r="C44" s="13"/>
      <c r="D44" s="46"/>
      <c r="E44" s="27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36"/>
      <c r="AQ44" s="40"/>
      <c r="AR44" s="40"/>
    </row>
    <row r="45" spans="1:44" ht="39" customHeight="1">
      <c r="A45" s="6" t="s">
        <v>40</v>
      </c>
      <c r="B45" s="5" t="s">
        <v>77</v>
      </c>
      <c r="C45" s="13" t="s">
        <v>54</v>
      </c>
      <c r="D45" s="29">
        <f>1448000/77549.72*1789.2</f>
        <v>33407.74924783739</v>
      </c>
      <c r="E45" s="27">
        <f>D45/H19/12</f>
        <v>1.5559910037930076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36"/>
      <c r="AQ45" s="40"/>
      <c r="AR45" s="40"/>
    </row>
    <row r="46" spans="1:44" ht="39" customHeight="1">
      <c r="A46" s="6" t="s">
        <v>41</v>
      </c>
      <c r="B46" s="5" t="s">
        <v>78</v>
      </c>
      <c r="C46" s="13"/>
      <c r="D46" s="29"/>
      <c r="E46" s="27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36"/>
      <c r="AQ46" s="40"/>
      <c r="AR46" s="40"/>
    </row>
    <row r="47" spans="1:44" ht="25.5">
      <c r="A47" s="6" t="s">
        <v>42</v>
      </c>
      <c r="B47" s="5" t="s">
        <v>62</v>
      </c>
      <c r="C47" s="13" t="s">
        <v>54</v>
      </c>
      <c r="D47" s="46"/>
      <c r="E47" s="27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36"/>
      <c r="AQ47" s="40"/>
      <c r="AR47" s="40"/>
    </row>
    <row r="48" spans="1:44" ht="25.5">
      <c r="A48" s="6" t="s">
        <v>43</v>
      </c>
      <c r="B48" s="7" t="s">
        <v>63</v>
      </c>
      <c r="C48" s="13" t="s">
        <v>54</v>
      </c>
      <c r="D48" s="46">
        <f>13972201/77549.72*1789.2</f>
        <v>322361.73166324775</v>
      </c>
      <c r="E48" s="27">
        <f>D48/H19/12</f>
        <v>15.014239681759433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36"/>
      <c r="AQ48" s="40"/>
      <c r="AR48" s="40"/>
    </row>
    <row r="49" spans="1:44" ht="25.5">
      <c r="A49" s="6" t="s">
        <v>46</v>
      </c>
      <c r="B49" s="5" t="s">
        <v>23</v>
      </c>
      <c r="C49" s="13" t="s">
        <v>60</v>
      </c>
      <c r="D49" s="46">
        <f>465297/77549.72*1789.2</f>
        <v>10735.169545421957</v>
      </c>
      <c r="E49" s="27">
        <f>D49/H19/12</f>
        <v>0.49999858155516236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36"/>
      <c r="AQ49" s="40"/>
      <c r="AR49" s="40"/>
    </row>
    <row r="50" spans="1:44" ht="25.5">
      <c r="A50" s="6" t="s">
        <v>79</v>
      </c>
      <c r="B50" s="5" t="s">
        <v>24</v>
      </c>
      <c r="C50" s="13" t="s">
        <v>61</v>
      </c>
      <c r="D50" s="46">
        <f>5667319/77549.72*1789.2</f>
        <v>130754.40059358047</v>
      </c>
      <c r="E50" s="27">
        <f>D50/H19/12</f>
        <v>6.089984378194187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36"/>
      <c r="AQ50" s="40"/>
      <c r="AR50" s="40"/>
    </row>
    <row r="51" spans="1:44" ht="38.25">
      <c r="A51" s="6" t="s">
        <v>80</v>
      </c>
      <c r="B51" s="5" t="s">
        <v>25</v>
      </c>
      <c r="C51" s="17" t="s">
        <v>55</v>
      </c>
      <c r="D51" s="29">
        <f>2308000/77549.72*1789.2</f>
        <v>53249.36827624909</v>
      </c>
      <c r="E51" s="27">
        <f>D51/H19/12</f>
        <v>2.4801293071507327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36"/>
      <c r="AQ51" s="40"/>
      <c r="AR51" s="40"/>
    </row>
    <row r="52" spans="1:44" ht="25.5">
      <c r="A52" s="6" t="s">
        <v>81</v>
      </c>
      <c r="B52" s="5" t="s">
        <v>26</v>
      </c>
      <c r="C52" s="13" t="s">
        <v>54</v>
      </c>
      <c r="D52" s="29">
        <f>9000/77549.72*1789.2</f>
        <v>207.64485029733183</v>
      </c>
      <c r="E52" s="27">
        <f>D52/H19/12</f>
        <v>0.009671214802580848</v>
      </c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36"/>
      <c r="AQ52" s="40"/>
      <c r="AR52" s="40"/>
    </row>
    <row r="53" spans="1:44" ht="38.25">
      <c r="A53" s="6" t="s">
        <v>82</v>
      </c>
      <c r="B53" s="5" t="s">
        <v>27</v>
      </c>
      <c r="C53" s="14" t="s">
        <v>54</v>
      </c>
      <c r="D53" s="29">
        <f>1414507/77549.72*1789.2</f>
        <v>32635.010473280887</v>
      </c>
      <c r="E53" s="27">
        <f>D53/H19/12</f>
        <v>1.5200001151949143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36"/>
      <c r="AQ53" s="40"/>
      <c r="AR53" s="40"/>
    </row>
    <row r="54" spans="1:44" ht="25.5">
      <c r="A54" s="6" t="s">
        <v>44</v>
      </c>
      <c r="B54" s="5" t="s">
        <v>28</v>
      </c>
      <c r="C54" s="15" t="s">
        <v>54</v>
      </c>
      <c r="D54" s="46"/>
      <c r="E54" s="27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36"/>
      <c r="AQ54" s="40"/>
      <c r="AR54" s="40"/>
    </row>
    <row r="55" spans="1:44" ht="38.25">
      <c r="A55" s="6" t="s">
        <v>48</v>
      </c>
      <c r="B55" s="5" t="s">
        <v>49</v>
      </c>
      <c r="C55" s="13" t="s">
        <v>52</v>
      </c>
      <c r="D55" s="46"/>
      <c r="E55" s="27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36"/>
      <c r="AQ55" s="40"/>
      <c r="AR55" s="40"/>
    </row>
    <row r="56" spans="1:44" ht="38.25">
      <c r="A56" s="6" t="s">
        <v>50</v>
      </c>
      <c r="B56" s="5" t="s">
        <v>51</v>
      </c>
      <c r="C56" s="13" t="s">
        <v>52</v>
      </c>
      <c r="D56" s="46"/>
      <c r="E56" s="27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36"/>
      <c r="AQ56" s="40"/>
      <c r="AR56" s="40"/>
    </row>
    <row r="57" spans="4:5" ht="15">
      <c r="D57" s="12"/>
      <c r="E57" s="22"/>
    </row>
    <row r="58" spans="4:5" ht="15">
      <c r="D58" s="12"/>
      <c r="E58" s="22"/>
    </row>
    <row r="59" spans="4:5" ht="15">
      <c r="D59" s="12"/>
      <c r="E59" s="22"/>
    </row>
    <row r="60" spans="4:5" ht="15">
      <c r="D60" s="12"/>
      <c r="E60" s="22"/>
    </row>
    <row r="61" spans="4:5" ht="15">
      <c r="D61" s="12"/>
      <c r="E61" s="22"/>
    </row>
    <row r="62" spans="4:5" ht="15">
      <c r="D62" s="12"/>
      <c r="E62" s="22"/>
    </row>
    <row r="63" spans="4:5" ht="15">
      <c r="D63" s="12"/>
      <c r="E63" s="22"/>
    </row>
    <row r="64" spans="4:5" ht="15">
      <c r="D64" s="12"/>
      <c r="E64" s="22"/>
    </row>
    <row r="65" spans="4:5" ht="15">
      <c r="D65" s="12"/>
      <c r="E65" s="22"/>
    </row>
    <row r="66" spans="4:5" ht="15">
      <c r="D66" s="12"/>
      <c r="E66" s="22"/>
    </row>
    <row r="67" spans="4:5" ht="15">
      <c r="D67" s="12"/>
      <c r="E67" s="22"/>
    </row>
    <row r="68" spans="4:5" ht="15">
      <c r="D68" s="12"/>
      <c r="E68" s="22"/>
    </row>
    <row r="69" spans="4:5" ht="15">
      <c r="D69" s="12"/>
      <c r="E69" s="22"/>
    </row>
    <row r="70" spans="4:5" ht="15">
      <c r="D70" s="12"/>
      <c r="E70" s="22"/>
    </row>
    <row r="71" spans="4:5" ht="15">
      <c r="D71" s="12"/>
      <c r="E71" s="22"/>
    </row>
    <row r="72" spans="4:5" ht="15">
      <c r="D72" s="12"/>
      <c r="E72" s="22"/>
    </row>
    <row r="73" spans="4:5" ht="15">
      <c r="D73" s="12"/>
      <c r="E73" s="22"/>
    </row>
    <row r="74" spans="4:5" ht="15">
      <c r="D74" s="12"/>
      <c r="E74" s="22"/>
    </row>
    <row r="75" spans="4:5" ht="15">
      <c r="D75" s="12"/>
      <c r="E75" s="22"/>
    </row>
    <row r="76" spans="4:5" ht="15">
      <c r="D76" s="12"/>
      <c r="E76" s="22"/>
    </row>
    <row r="77" spans="4:5" ht="15">
      <c r="D77" s="12"/>
      <c r="E77" s="22"/>
    </row>
    <row r="78" spans="4:5" ht="15">
      <c r="D78" s="12"/>
      <c r="E78" s="22"/>
    </row>
    <row r="79" spans="4:5" ht="15">
      <c r="D79" s="12"/>
      <c r="E79" s="22"/>
    </row>
    <row r="80" spans="4:5" ht="15">
      <c r="D80" s="12"/>
      <c r="E80" s="22"/>
    </row>
    <row r="81" spans="4:5" ht="15">
      <c r="D81" s="12"/>
      <c r="E81" s="22"/>
    </row>
    <row r="82" spans="4:5" ht="15">
      <c r="D82" s="12"/>
      <c r="E82" s="22"/>
    </row>
    <row r="83" spans="4:5" ht="15">
      <c r="D83" s="12"/>
      <c r="E83" s="22"/>
    </row>
    <row r="84" spans="4:5" ht="15">
      <c r="D84" s="12"/>
      <c r="E84" s="22"/>
    </row>
    <row r="85" spans="4:5" ht="15">
      <c r="D85" s="12"/>
      <c r="E85" s="22"/>
    </row>
    <row r="86" spans="4:5" ht="15">
      <c r="D86" s="12"/>
      <c r="E86" s="22"/>
    </row>
    <row r="87" spans="4:5" ht="15">
      <c r="D87" s="12"/>
      <c r="E87" s="22"/>
    </row>
    <row r="88" spans="4:5" ht="15">
      <c r="D88" s="12"/>
      <c r="E88" s="22"/>
    </row>
    <row r="89" spans="4:5" ht="15">
      <c r="D89" s="12"/>
      <c r="E89" s="22"/>
    </row>
    <row r="90" spans="4:5" ht="15">
      <c r="D90" s="12"/>
      <c r="E90" s="22"/>
    </row>
    <row r="91" spans="4:5" ht="15">
      <c r="D91" s="12"/>
      <c r="E91" s="22"/>
    </row>
    <row r="92" spans="4:5" ht="15">
      <c r="D92" s="12"/>
      <c r="E92" s="22"/>
    </row>
    <row r="93" spans="4:5" ht="15">
      <c r="D93" s="12"/>
      <c r="E93" s="22"/>
    </row>
    <row r="94" spans="4:5" ht="15">
      <c r="D94" s="12"/>
      <c r="E94" s="22"/>
    </row>
    <row r="95" spans="4:5" ht="15">
      <c r="D95" s="12"/>
      <c r="E95" s="22"/>
    </row>
    <row r="96" spans="4:5" ht="15">
      <c r="D96" s="12"/>
      <c r="E96" s="22"/>
    </row>
    <row r="97" spans="4:5" ht="15">
      <c r="D97" s="12"/>
      <c r="E97" s="22"/>
    </row>
    <row r="98" spans="4:5" ht="15">
      <c r="D98" s="12"/>
      <c r="E98" s="22"/>
    </row>
    <row r="99" spans="4:5" ht="15">
      <c r="D99" s="12"/>
      <c r="E99" s="22"/>
    </row>
    <row r="100" spans="4:5" ht="15">
      <c r="D100" s="12"/>
      <c r="E100" s="22"/>
    </row>
    <row r="101" spans="4:5" ht="15">
      <c r="D101" s="12"/>
      <c r="E101" s="22"/>
    </row>
    <row r="102" spans="4:5" ht="15">
      <c r="D102" s="12"/>
      <c r="E102" s="22"/>
    </row>
    <row r="103" spans="4:5" ht="15">
      <c r="D103" s="12"/>
      <c r="E103" s="22"/>
    </row>
    <row r="104" spans="4:5" ht="15">
      <c r="D104" s="12"/>
      <c r="E104" s="22"/>
    </row>
    <row r="105" spans="4:5" ht="15">
      <c r="D105" s="12"/>
      <c r="E105" s="22"/>
    </row>
    <row r="106" spans="4:5" ht="15">
      <c r="D106" s="12"/>
      <c r="E106" s="22"/>
    </row>
    <row r="107" spans="4:5" ht="15">
      <c r="D107" s="12"/>
      <c r="E107" s="22"/>
    </row>
    <row r="108" spans="4:5" ht="15">
      <c r="D108" s="12"/>
      <c r="E108" s="22"/>
    </row>
    <row r="109" spans="4:5" ht="15">
      <c r="D109" s="12"/>
      <c r="E109" s="22"/>
    </row>
    <row r="110" spans="4:5" ht="15">
      <c r="D110" s="12"/>
      <c r="E110" s="22"/>
    </row>
    <row r="111" spans="4:5" ht="15">
      <c r="D111" s="12"/>
      <c r="E111" s="22"/>
    </row>
    <row r="112" spans="4:5" ht="15">
      <c r="D112" s="12"/>
      <c r="E112" s="22"/>
    </row>
    <row r="113" spans="4:5" ht="15">
      <c r="D113" s="12"/>
      <c r="E113" s="22"/>
    </row>
    <row r="114" spans="4:5" ht="15">
      <c r="D114" s="12"/>
      <c r="E114" s="22"/>
    </row>
    <row r="115" spans="4:5" ht="15">
      <c r="D115" s="12"/>
      <c r="E115" s="22"/>
    </row>
    <row r="116" spans="4:5" ht="15">
      <c r="D116" s="12"/>
      <c r="E116" s="22"/>
    </row>
    <row r="117" spans="4:5" ht="15">
      <c r="D117" s="12"/>
      <c r="E117" s="22"/>
    </row>
    <row r="118" spans="4:5" ht="15">
      <c r="D118" s="12"/>
      <c r="E118" s="22"/>
    </row>
    <row r="119" spans="4:5" ht="15">
      <c r="D119" s="12"/>
      <c r="E119" s="22"/>
    </row>
    <row r="120" spans="4:5" ht="15">
      <c r="D120" s="12"/>
      <c r="E120" s="22"/>
    </row>
    <row r="121" spans="4:5" ht="15">
      <c r="D121" s="12"/>
      <c r="E121" s="22"/>
    </row>
    <row r="122" spans="4:5" ht="15">
      <c r="D122" s="12"/>
      <c r="E122" s="22"/>
    </row>
    <row r="123" spans="4:5" ht="15">
      <c r="D123" s="12"/>
      <c r="E123" s="22"/>
    </row>
    <row r="124" spans="4:5" ht="15">
      <c r="D124" s="12"/>
      <c r="E124" s="22"/>
    </row>
    <row r="125" spans="4:5" ht="15">
      <c r="D125" s="12"/>
      <c r="E125" s="22"/>
    </row>
    <row r="126" spans="4:5" ht="15">
      <c r="D126" s="12"/>
      <c r="E126" s="22"/>
    </row>
    <row r="127" spans="4:5" ht="15">
      <c r="D127" s="12"/>
      <c r="E127" s="22"/>
    </row>
    <row r="128" spans="4:5" ht="15">
      <c r="D128" s="12"/>
      <c r="E128" s="22"/>
    </row>
    <row r="129" spans="4:5" ht="15">
      <c r="D129" s="12"/>
      <c r="E129" s="22"/>
    </row>
    <row r="130" spans="4:5" ht="15">
      <c r="D130" s="12"/>
      <c r="E130" s="22"/>
    </row>
  </sheetData>
  <sheetProtection/>
  <mergeCells count="16">
    <mergeCell ref="A14:F14"/>
    <mergeCell ref="A15:F15"/>
    <mergeCell ref="A21:A22"/>
    <mergeCell ref="B21:B22"/>
    <mergeCell ref="D21:D22"/>
    <mergeCell ref="E21:E22"/>
    <mergeCell ref="A16:F16"/>
    <mergeCell ref="A17:F17"/>
    <mergeCell ref="A8:B8"/>
    <mergeCell ref="E8:F8"/>
    <mergeCell ref="A9:B9"/>
    <mergeCell ref="D9:F9"/>
    <mergeCell ref="A10:B10"/>
    <mergeCell ref="D10:F10"/>
    <mergeCell ref="A11:B11"/>
    <mergeCell ref="A12:B12"/>
  </mergeCells>
  <printOptions/>
  <pageMargins left="1.1811023622047245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R130"/>
  <sheetViews>
    <sheetView zoomScalePageLayoutView="0" workbookViewId="0" topLeftCell="A8">
      <selection activeCell="A12" sqref="A12:B12"/>
    </sheetView>
  </sheetViews>
  <sheetFormatPr defaultColWidth="9.140625" defaultRowHeight="15"/>
  <cols>
    <col min="1" max="1" width="5.8515625" style="4" customWidth="1"/>
    <col min="2" max="2" width="38.00390625" style="4" customWidth="1"/>
    <col min="3" max="3" width="17.7109375" style="4" hidden="1" customWidth="1"/>
    <col min="4" max="4" width="14.28125" style="4" customWidth="1"/>
    <col min="5" max="5" width="13.7109375" style="19" customWidth="1"/>
    <col min="6" max="6" width="10.140625" style="30" customWidth="1"/>
    <col min="7" max="7" width="10.57421875" style="31" customWidth="1"/>
    <col min="8" max="8" width="10.421875" style="31" customWidth="1"/>
    <col min="9" max="9" width="10.00390625" style="31" customWidth="1"/>
    <col min="10" max="10" width="9.8515625" style="31" customWidth="1"/>
    <col min="11" max="11" width="9.28125" style="31" customWidth="1"/>
    <col min="12" max="14" width="9.8515625" style="31" customWidth="1"/>
    <col min="15" max="23" width="9.8515625" style="31" hidden="1" customWidth="1"/>
    <col min="24" max="39" width="9.8515625" style="31" customWidth="1"/>
    <col min="40" max="40" width="11.421875" style="31" customWidth="1"/>
    <col min="41" max="41" width="11.00390625" style="31" customWidth="1"/>
    <col min="42" max="42" width="11.140625" style="31" customWidth="1"/>
    <col min="43" max="44" width="9.140625" style="31" customWidth="1"/>
    <col min="45" max="16384" width="9.140625" style="4" customWidth="1"/>
  </cols>
  <sheetData>
    <row r="1" spans="1:5" ht="15.75" hidden="1">
      <c r="A1" s="1" t="s">
        <v>0</v>
      </c>
      <c r="E1" s="18" t="s">
        <v>9</v>
      </c>
    </row>
    <row r="2" spans="1:5" ht="15.75" hidden="1">
      <c r="A2" s="1" t="s">
        <v>1</v>
      </c>
      <c r="E2" s="18" t="s">
        <v>11</v>
      </c>
    </row>
    <row r="3" spans="1:5" ht="15.75" hidden="1">
      <c r="A3" s="1" t="s">
        <v>2</v>
      </c>
      <c r="E3" s="18" t="s">
        <v>10</v>
      </c>
    </row>
    <row r="4" ht="15.75" hidden="1">
      <c r="A4" s="1" t="s">
        <v>3</v>
      </c>
    </row>
    <row r="5" ht="15" hidden="1"/>
    <row r="6" spans="1:5" ht="112.5" hidden="1">
      <c r="A6" s="2" t="s">
        <v>12</v>
      </c>
      <c r="B6" s="3"/>
      <c r="C6" s="3"/>
      <c r="D6" s="3"/>
      <c r="E6" s="20"/>
    </row>
    <row r="7" spans="1:5" ht="15" hidden="1">
      <c r="A7" s="3" t="s">
        <v>53</v>
      </c>
      <c r="B7" s="3"/>
      <c r="C7" s="3"/>
      <c r="D7" s="3"/>
      <c r="E7" s="21"/>
    </row>
    <row r="8" spans="1:6" ht="15.75" customHeight="1">
      <c r="A8" s="60" t="s">
        <v>0</v>
      </c>
      <c r="B8" s="61"/>
      <c r="C8" s="52"/>
      <c r="D8" s="53"/>
      <c r="E8" s="62" t="s">
        <v>9</v>
      </c>
      <c r="F8" s="63"/>
    </row>
    <row r="9" spans="1:6" ht="15">
      <c r="A9" s="61" t="s">
        <v>83</v>
      </c>
      <c r="B9" s="61"/>
      <c r="C9" s="52"/>
      <c r="D9" s="64" t="s">
        <v>117</v>
      </c>
      <c r="E9" s="85"/>
      <c r="F9" s="85"/>
    </row>
    <row r="10" spans="1:6" ht="15">
      <c r="A10" s="61" t="s">
        <v>84</v>
      </c>
      <c r="B10" s="61"/>
      <c r="C10" s="52"/>
      <c r="D10" s="64" t="s">
        <v>116</v>
      </c>
      <c r="E10" s="63"/>
      <c r="F10" s="63"/>
    </row>
    <row r="11" spans="1:5" ht="15">
      <c r="A11" s="61" t="s">
        <v>2</v>
      </c>
      <c r="B11" s="61"/>
      <c r="C11" s="52"/>
      <c r="D11" s="52"/>
      <c r="E11" s="21"/>
    </row>
    <row r="12" spans="1:5" ht="15" customHeight="1">
      <c r="A12" s="61" t="s">
        <v>126</v>
      </c>
      <c r="B12" s="61"/>
      <c r="C12" s="52"/>
      <c r="D12" s="52"/>
      <c r="E12" s="21"/>
    </row>
    <row r="13" spans="1:5" ht="15">
      <c r="A13" s="54"/>
      <c r="B13" s="54"/>
      <c r="C13" s="52"/>
      <c r="D13" s="52"/>
      <c r="E13" s="21"/>
    </row>
    <row r="14" spans="1:6" ht="15.75">
      <c r="A14" s="67" t="s">
        <v>86</v>
      </c>
      <c r="B14" s="67"/>
      <c r="C14" s="67"/>
      <c r="D14" s="67"/>
      <c r="E14" s="67"/>
      <c r="F14" s="67"/>
    </row>
    <row r="15" spans="1:6" ht="15.75">
      <c r="A15" s="67" t="s">
        <v>87</v>
      </c>
      <c r="B15" s="67"/>
      <c r="C15" s="67"/>
      <c r="D15" s="67"/>
      <c r="E15" s="67"/>
      <c r="F15" s="67"/>
    </row>
    <row r="16" spans="1:6" ht="15.75">
      <c r="A16" s="67" t="s">
        <v>88</v>
      </c>
      <c r="B16" s="67"/>
      <c r="C16" s="67"/>
      <c r="D16" s="67"/>
      <c r="E16" s="67"/>
      <c r="F16" s="67"/>
    </row>
    <row r="17" spans="1:6" ht="15">
      <c r="A17" s="80" t="s">
        <v>103</v>
      </c>
      <c r="B17" s="81"/>
      <c r="C17" s="81"/>
      <c r="D17" s="81"/>
      <c r="E17" s="81"/>
      <c r="F17" s="81"/>
    </row>
    <row r="18" spans="1:5" ht="15">
      <c r="A18" s="3"/>
      <c r="B18" s="3"/>
      <c r="C18" s="3"/>
      <c r="D18" s="3"/>
      <c r="E18" s="55"/>
    </row>
    <row r="19" spans="1:9" ht="28.5">
      <c r="A19" s="10" t="s">
        <v>47</v>
      </c>
      <c r="B19" s="3"/>
      <c r="C19" s="3"/>
      <c r="D19" s="3"/>
      <c r="E19" s="48"/>
      <c r="H19" s="51">
        <v>3536.6</v>
      </c>
      <c r="I19" s="31">
        <v>77549.72</v>
      </c>
    </row>
    <row r="20" ht="15">
      <c r="D20" s="16"/>
    </row>
    <row r="21" spans="1:42" ht="42" customHeight="1">
      <c r="A21" s="74" t="s">
        <v>8</v>
      </c>
      <c r="B21" s="74" t="s">
        <v>4</v>
      </c>
      <c r="C21" s="28" t="s">
        <v>5</v>
      </c>
      <c r="D21" s="75" t="s">
        <v>6</v>
      </c>
      <c r="E21" s="77" t="s">
        <v>7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3"/>
    </row>
    <row r="22" spans="1:42" ht="14.25" customHeight="1">
      <c r="A22" s="74"/>
      <c r="B22" s="74"/>
      <c r="C22" s="28"/>
      <c r="D22" s="76"/>
      <c r="E22" s="77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6"/>
    </row>
    <row r="23" spans="1:44" s="11" customFormat="1" ht="51">
      <c r="A23" s="23">
        <v>1</v>
      </c>
      <c r="B23" s="24" t="s">
        <v>13</v>
      </c>
      <c r="C23" s="25"/>
      <c r="D23" s="44">
        <f>D24+D25+D54+D55</f>
        <v>1662977.2091014641</v>
      </c>
      <c r="E23" s="50">
        <f>E24+E25+E54+E55</f>
        <v>39.18493301243812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6"/>
      <c r="AQ23" s="38"/>
      <c r="AR23" s="38"/>
    </row>
    <row r="24" spans="1:44" ht="51.75" customHeight="1">
      <c r="A24" s="8">
        <v>2</v>
      </c>
      <c r="B24" s="5" t="s">
        <v>45</v>
      </c>
      <c r="C24" s="13" t="s">
        <v>54</v>
      </c>
      <c r="D24" s="45">
        <f>1905742/77549.72*3536.6</f>
        <v>86910.01279179344</v>
      </c>
      <c r="E24" s="26">
        <f>D24/H19/12</f>
        <v>2.0478711378111143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6"/>
      <c r="AQ24" s="40"/>
      <c r="AR24" s="40"/>
    </row>
    <row r="25" spans="1:44" ht="25.5">
      <c r="A25" s="8">
        <v>3</v>
      </c>
      <c r="B25" s="5" t="s">
        <v>29</v>
      </c>
      <c r="C25" s="13"/>
      <c r="D25" s="45">
        <f>D26+D27+D28+D29+D30+D31+D32+D33+D34+D35+D36+D37+D38+D39+D40+D41+D42+D43+D44+D45+D46+D47+D48+D49+D50+D51+D52+D53+D54+D55+D56</f>
        <v>1576067.1963096706</v>
      </c>
      <c r="E25" s="26">
        <f>SUM(E26:E56)</f>
        <v>37.13706187462701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0"/>
      <c r="AR25" s="40"/>
    </row>
    <row r="26" spans="1:44" ht="25.5">
      <c r="A26" s="9">
        <v>3.1</v>
      </c>
      <c r="B26" s="5" t="s">
        <v>14</v>
      </c>
      <c r="C26" s="13"/>
      <c r="D26" s="46"/>
      <c r="E26" s="27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6"/>
      <c r="AQ26" s="40"/>
      <c r="AR26" s="40"/>
    </row>
    <row r="27" spans="1:44" ht="24">
      <c r="A27" s="6">
        <v>3.2</v>
      </c>
      <c r="B27" s="5" t="s">
        <v>15</v>
      </c>
      <c r="C27" s="13" t="s">
        <v>57</v>
      </c>
      <c r="D27" s="46">
        <f>353626/77549.72*3536.6</f>
        <v>16126.863018976728</v>
      </c>
      <c r="E27" s="27">
        <f>D27/H19/12</f>
        <v>0.3799992228641616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36"/>
      <c r="AQ27" s="40"/>
      <c r="AR27" s="40"/>
    </row>
    <row r="28" spans="1:44" ht="25.5">
      <c r="A28" s="9">
        <v>3.3</v>
      </c>
      <c r="B28" s="5" t="s">
        <v>16</v>
      </c>
      <c r="C28" s="13" t="s">
        <v>59</v>
      </c>
      <c r="D28" s="46">
        <f>158201/77549.72*3536.6</f>
        <v>7214.644444880007</v>
      </c>
      <c r="E28" s="27">
        <f>D28/H19/12</f>
        <v>0.1699995392203436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36"/>
      <c r="AQ28" s="40"/>
      <c r="AR28" s="40"/>
    </row>
    <row r="29" spans="1:44" ht="34.5" customHeight="1">
      <c r="A29" s="6" t="s">
        <v>68</v>
      </c>
      <c r="B29" s="5" t="s">
        <v>17</v>
      </c>
      <c r="C29" s="13" t="s">
        <v>56</v>
      </c>
      <c r="D29" s="46"/>
      <c r="E29" s="27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6"/>
      <c r="AQ29" s="40"/>
      <c r="AR29" s="40"/>
    </row>
    <row r="30" spans="1:44" ht="34.5" customHeight="1">
      <c r="A30" s="6" t="s">
        <v>69</v>
      </c>
      <c r="B30" s="5" t="s">
        <v>70</v>
      </c>
      <c r="C30" s="13"/>
      <c r="D30" s="46"/>
      <c r="E30" s="27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6"/>
      <c r="AQ30" s="40"/>
      <c r="AR30" s="40"/>
    </row>
    <row r="31" spans="1:44" ht="41.25" customHeight="1">
      <c r="A31" s="6" t="s">
        <v>71</v>
      </c>
      <c r="B31" s="5" t="s">
        <v>72</v>
      </c>
      <c r="C31" s="13"/>
      <c r="D31" s="46"/>
      <c r="E31" s="27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6"/>
      <c r="AQ31" s="40"/>
      <c r="AR31" s="40"/>
    </row>
    <row r="32" spans="1:44" ht="25.5">
      <c r="A32" s="9">
        <v>3.7</v>
      </c>
      <c r="B32" s="5" t="s">
        <v>18</v>
      </c>
      <c r="C32" s="13" t="s">
        <v>57</v>
      </c>
      <c r="D32" s="46">
        <f>2345097/77549.72*3536.6</f>
        <v>106946.48607628756</v>
      </c>
      <c r="E32" s="27">
        <f>D32/H19/12</f>
        <v>2.5199929799875487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36"/>
      <c r="AQ32" s="40"/>
      <c r="AR32" s="40"/>
    </row>
    <row r="33" spans="1:44" ht="25.5">
      <c r="A33" s="6">
        <v>3.8</v>
      </c>
      <c r="B33" s="5" t="s">
        <v>64</v>
      </c>
      <c r="C33" s="13" t="s">
        <v>57</v>
      </c>
      <c r="D33" s="46">
        <f>651416/77549.72*3536.6</f>
        <v>29707.364844128384</v>
      </c>
      <c r="E33" s="27">
        <f>D33/H19/12</f>
        <v>0.6999982290931116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36"/>
      <c r="AQ33" s="40"/>
      <c r="AR33" s="40"/>
    </row>
    <row r="34" spans="1:44" ht="25.5">
      <c r="A34" s="9">
        <v>3.9</v>
      </c>
      <c r="B34" s="5" t="s">
        <v>19</v>
      </c>
      <c r="C34" s="13" t="s">
        <v>57</v>
      </c>
      <c r="D34" s="46">
        <f>697946/77549.72*3536.6</f>
        <v>31829.332505649276</v>
      </c>
      <c r="E34" s="27">
        <f>D34/H19/12</f>
        <v>0.7499984096224547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36"/>
      <c r="AQ34" s="40"/>
      <c r="AR34" s="40"/>
    </row>
    <row r="35" spans="1:44" ht="25.5">
      <c r="A35" s="6" t="s">
        <v>30</v>
      </c>
      <c r="B35" s="5" t="s">
        <v>65</v>
      </c>
      <c r="C35" s="13" t="s">
        <v>57</v>
      </c>
      <c r="D35" s="46"/>
      <c r="E35" s="27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36"/>
      <c r="AQ35" s="40"/>
      <c r="AR35" s="40"/>
    </row>
    <row r="36" spans="1:44" ht="25.5">
      <c r="A36" s="6" t="s">
        <v>31</v>
      </c>
      <c r="B36" s="5" t="s">
        <v>66</v>
      </c>
      <c r="C36" s="13"/>
      <c r="D36" s="46"/>
      <c r="E36" s="27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36"/>
      <c r="AQ36" s="40"/>
      <c r="AR36" s="40"/>
    </row>
    <row r="37" spans="1:44" ht="40.5" customHeight="1">
      <c r="A37" s="6" t="s">
        <v>32</v>
      </c>
      <c r="B37" s="5" t="s">
        <v>20</v>
      </c>
      <c r="C37" s="13"/>
      <c r="D37" s="46"/>
      <c r="E37" s="27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36"/>
      <c r="AQ37" s="40"/>
      <c r="AR37" s="40"/>
    </row>
    <row r="38" spans="1:44" ht="51">
      <c r="A38" s="6" t="s">
        <v>33</v>
      </c>
      <c r="B38" s="5" t="s">
        <v>21</v>
      </c>
      <c r="C38" s="13" t="s">
        <v>58</v>
      </c>
      <c r="D38" s="46">
        <f>2373015/77549.72*3536.6</f>
        <v>108219.6666732001</v>
      </c>
      <c r="E38" s="27">
        <f>D38/H19/12</f>
        <v>2.5499930883051545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36"/>
      <c r="AQ38" s="40"/>
      <c r="AR38" s="40"/>
    </row>
    <row r="39" spans="1:44" ht="33" customHeight="1">
      <c r="A39" s="6" t="s">
        <v>34</v>
      </c>
      <c r="B39" s="5" t="s">
        <v>73</v>
      </c>
      <c r="C39" s="13"/>
      <c r="D39" s="46"/>
      <c r="E39" s="27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36"/>
      <c r="AQ39" s="40"/>
      <c r="AR39" s="40"/>
    </row>
    <row r="40" spans="1:44" ht="41.25" customHeight="1">
      <c r="A40" s="6" t="s">
        <v>35</v>
      </c>
      <c r="B40" s="5" t="s">
        <v>22</v>
      </c>
      <c r="C40" s="13"/>
      <c r="D40" s="46"/>
      <c r="E40" s="27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36"/>
      <c r="AQ40" s="40"/>
      <c r="AR40" s="40"/>
    </row>
    <row r="41" spans="1:44" ht="41.25" customHeight="1">
      <c r="A41" s="6" t="s">
        <v>36</v>
      </c>
      <c r="B41" s="5" t="s">
        <v>74</v>
      </c>
      <c r="C41" s="13"/>
      <c r="D41" s="46"/>
      <c r="E41" s="27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36"/>
      <c r="AQ41" s="40"/>
      <c r="AR41" s="40"/>
    </row>
    <row r="42" spans="1:44" ht="40.5" customHeight="1">
      <c r="A42" s="6" t="s">
        <v>37</v>
      </c>
      <c r="B42" s="5" t="s">
        <v>75</v>
      </c>
      <c r="C42" s="13" t="s">
        <v>54</v>
      </c>
      <c r="D42" s="47">
        <f>2696000/77549.72*3536.6</f>
        <v>122949.16861079575</v>
      </c>
      <c r="E42" s="27">
        <f>D42/H19/12</f>
        <v>2.8970661230842185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36"/>
      <c r="AQ42" s="40"/>
      <c r="AR42" s="40"/>
    </row>
    <row r="43" spans="1:44" ht="51">
      <c r="A43" s="6" t="s">
        <v>38</v>
      </c>
      <c r="B43" s="5" t="s">
        <v>67</v>
      </c>
      <c r="C43" s="13"/>
      <c r="D43" s="46"/>
      <c r="E43" s="27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36"/>
      <c r="AQ43" s="40"/>
      <c r="AR43" s="40"/>
    </row>
    <row r="44" spans="1:44" ht="40.5" customHeight="1">
      <c r="A44" s="6" t="s">
        <v>39</v>
      </c>
      <c r="B44" s="5" t="s">
        <v>76</v>
      </c>
      <c r="C44" s="13"/>
      <c r="D44" s="46"/>
      <c r="E44" s="27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36"/>
      <c r="AQ44" s="40"/>
      <c r="AR44" s="40"/>
    </row>
    <row r="45" spans="1:44" ht="39" customHeight="1">
      <c r="A45" s="6" t="s">
        <v>40</v>
      </c>
      <c r="B45" s="5" t="s">
        <v>77</v>
      </c>
      <c r="C45" s="13" t="s">
        <v>54</v>
      </c>
      <c r="D45" s="29">
        <f>1448000/77549.72*3536.6</f>
        <v>66035.01340817219</v>
      </c>
      <c r="E45" s="27">
        <f>D45/H19/12</f>
        <v>1.5559910037930074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36"/>
      <c r="AQ45" s="40"/>
      <c r="AR45" s="40"/>
    </row>
    <row r="46" spans="1:44" ht="39" customHeight="1">
      <c r="A46" s="6" t="s">
        <v>41</v>
      </c>
      <c r="B46" s="5" t="s">
        <v>78</v>
      </c>
      <c r="C46" s="13"/>
      <c r="D46" s="29"/>
      <c r="E46" s="27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36"/>
      <c r="AQ46" s="40"/>
      <c r="AR46" s="40"/>
    </row>
    <row r="47" spans="1:44" ht="25.5">
      <c r="A47" s="6" t="s">
        <v>42</v>
      </c>
      <c r="B47" s="5" t="s">
        <v>62</v>
      </c>
      <c r="C47" s="13" t="s">
        <v>54</v>
      </c>
      <c r="D47" s="46"/>
      <c r="E47" s="27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36"/>
      <c r="AQ47" s="40"/>
      <c r="AR47" s="40"/>
    </row>
    <row r="48" spans="1:44" ht="25.5">
      <c r="A48" s="6" t="s">
        <v>43</v>
      </c>
      <c r="B48" s="7" t="s">
        <v>63</v>
      </c>
      <c r="C48" s="13" t="s">
        <v>54</v>
      </c>
      <c r="D48" s="46">
        <f>13972201/77549.72*3536.6</f>
        <v>637192.320702125</v>
      </c>
      <c r="E48" s="27">
        <f>D48/H19/12</f>
        <v>15.014239681759435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36"/>
      <c r="AQ48" s="40"/>
      <c r="AR48" s="40"/>
    </row>
    <row r="49" spans="1:44" ht="25.5">
      <c r="A49" s="6" t="s">
        <v>46</v>
      </c>
      <c r="B49" s="5" t="s">
        <v>23</v>
      </c>
      <c r="C49" s="13" t="s">
        <v>60</v>
      </c>
      <c r="D49" s="46">
        <f>465297/77549.72*3536.6</f>
        <v>21219.539802335843</v>
      </c>
      <c r="E49" s="27">
        <f>D49/H19/12</f>
        <v>0.49999858155516225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36"/>
      <c r="AQ49" s="40"/>
      <c r="AR49" s="40"/>
    </row>
    <row r="50" spans="1:44" ht="25.5">
      <c r="A50" s="6" t="s">
        <v>79</v>
      </c>
      <c r="B50" s="5" t="s">
        <v>24</v>
      </c>
      <c r="C50" s="13" t="s">
        <v>61</v>
      </c>
      <c r="D50" s="46">
        <f>5667319/77549.72*3536.6</f>
        <v>258454.06502305873</v>
      </c>
      <c r="E50" s="27">
        <f>D50/H19/12</f>
        <v>6.089984378194187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36"/>
      <c r="AQ50" s="40"/>
      <c r="AR50" s="40"/>
    </row>
    <row r="51" spans="1:44" ht="38.25">
      <c r="A51" s="6" t="s">
        <v>80</v>
      </c>
      <c r="B51" s="5" t="s">
        <v>25</v>
      </c>
      <c r="C51" s="17" t="s">
        <v>55</v>
      </c>
      <c r="D51" s="29">
        <f>2308000/77549.72*3536.6</f>
        <v>105254.70369203138</v>
      </c>
      <c r="E51" s="27">
        <f>D51/H19/12</f>
        <v>2.480129307150733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36"/>
      <c r="AQ51" s="40"/>
      <c r="AR51" s="40"/>
    </row>
    <row r="52" spans="1:44" ht="25.5">
      <c r="A52" s="6" t="s">
        <v>81</v>
      </c>
      <c r="B52" s="5" t="s">
        <v>26</v>
      </c>
      <c r="C52" s="13" t="s">
        <v>54</v>
      </c>
      <c r="D52" s="29">
        <f>9000/77549.72*3536.6</f>
        <v>410.4386192496891</v>
      </c>
      <c r="E52" s="27">
        <f>D52/H19/12</f>
        <v>0.009671214802580848</v>
      </c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36"/>
      <c r="AQ52" s="40"/>
      <c r="AR52" s="40"/>
    </row>
    <row r="53" spans="1:44" ht="38.25">
      <c r="A53" s="6" t="s">
        <v>82</v>
      </c>
      <c r="B53" s="5" t="s">
        <v>27</v>
      </c>
      <c r="C53" s="14" t="s">
        <v>54</v>
      </c>
      <c r="D53" s="29">
        <f>1414507/77549.72*3536.6</f>
        <v>64507.58888878</v>
      </c>
      <c r="E53" s="27">
        <f>D53/H19/12</f>
        <v>1.5200001151949143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36"/>
      <c r="AQ53" s="40"/>
      <c r="AR53" s="40"/>
    </row>
    <row r="54" spans="1:44" ht="25.5">
      <c r="A54" s="6" t="s">
        <v>44</v>
      </c>
      <c r="B54" s="5" t="s">
        <v>28</v>
      </c>
      <c r="C54" s="15" t="s">
        <v>54</v>
      </c>
      <c r="D54" s="46"/>
      <c r="E54" s="27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36"/>
      <c r="AQ54" s="40"/>
      <c r="AR54" s="40"/>
    </row>
    <row r="55" spans="1:44" ht="38.25">
      <c r="A55" s="6" t="s">
        <v>48</v>
      </c>
      <c r="B55" s="5" t="s">
        <v>49</v>
      </c>
      <c r="C55" s="13" t="s">
        <v>52</v>
      </c>
      <c r="D55" s="46"/>
      <c r="E55" s="27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36"/>
      <c r="AQ55" s="40"/>
      <c r="AR55" s="40"/>
    </row>
    <row r="56" spans="1:44" ht="38.25">
      <c r="A56" s="6" t="s">
        <v>50</v>
      </c>
      <c r="B56" s="5" t="s">
        <v>51</v>
      </c>
      <c r="C56" s="13" t="s">
        <v>52</v>
      </c>
      <c r="D56" s="46"/>
      <c r="E56" s="27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36"/>
      <c r="AQ56" s="40"/>
      <c r="AR56" s="40"/>
    </row>
    <row r="57" spans="4:5" ht="15">
      <c r="D57" s="12"/>
      <c r="E57" s="22"/>
    </row>
    <row r="58" spans="4:5" ht="15">
      <c r="D58" s="12"/>
      <c r="E58" s="22"/>
    </row>
    <row r="59" spans="4:5" ht="15">
      <c r="D59" s="12"/>
      <c r="E59" s="22"/>
    </row>
    <row r="60" spans="4:5" ht="15">
      <c r="D60" s="12"/>
      <c r="E60" s="22"/>
    </row>
    <row r="61" spans="4:5" ht="15">
      <c r="D61" s="12"/>
      <c r="E61" s="22"/>
    </row>
    <row r="62" spans="4:5" ht="15">
      <c r="D62" s="12"/>
      <c r="E62" s="22"/>
    </row>
    <row r="63" spans="4:5" ht="15">
      <c r="D63" s="12"/>
      <c r="E63" s="22"/>
    </row>
    <row r="64" spans="4:5" ht="15">
      <c r="D64" s="12"/>
      <c r="E64" s="22"/>
    </row>
    <row r="65" spans="4:5" ht="15">
      <c r="D65" s="12"/>
      <c r="E65" s="22"/>
    </row>
    <row r="66" spans="4:5" ht="15">
      <c r="D66" s="12"/>
      <c r="E66" s="22"/>
    </row>
    <row r="67" spans="4:5" ht="15">
      <c r="D67" s="12"/>
      <c r="E67" s="22"/>
    </row>
    <row r="68" spans="4:5" ht="15">
      <c r="D68" s="12"/>
      <c r="E68" s="22"/>
    </row>
    <row r="69" spans="4:5" ht="15">
      <c r="D69" s="12"/>
      <c r="E69" s="22"/>
    </row>
    <row r="70" spans="4:5" ht="15">
      <c r="D70" s="12"/>
      <c r="E70" s="22"/>
    </row>
    <row r="71" spans="4:5" ht="15">
      <c r="D71" s="12"/>
      <c r="E71" s="22"/>
    </row>
    <row r="72" spans="4:5" ht="15">
      <c r="D72" s="12"/>
      <c r="E72" s="22"/>
    </row>
    <row r="73" spans="4:5" ht="15">
      <c r="D73" s="12"/>
      <c r="E73" s="22"/>
    </row>
    <row r="74" spans="4:5" ht="15">
      <c r="D74" s="12"/>
      <c r="E74" s="22"/>
    </row>
    <row r="75" spans="4:5" ht="15">
      <c r="D75" s="12"/>
      <c r="E75" s="22"/>
    </row>
    <row r="76" spans="4:5" ht="15">
      <c r="D76" s="12"/>
      <c r="E76" s="22"/>
    </row>
    <row r="77" spans="4:5" ht="15">
      <c r="D77" s="12"/>
      <c r="E77" s="22"/>
    </row>
    <row r="78" spans="4:5" ht="15">
      <c r="D78" s="12"/>
      <c r="E78" s="22"/>
    </row>
    <row r="79" spans="4:5" ht="15">
      <c r="D79" s="12"/>
      <c r="E79" s="22"/>
    </row>
    <row r="80" spans="4:5" ht="15">
      <c r="D80" s="12"/>
      <c r="E80" s="22"/>
    </row>
    <row r="81" spans="4:5" ht="15">
      <c r="D81" s="12"/>
      <c r="E81" s="22"/>
    </row>
    <row r="82" spans="4:5" ht="15">
      <c r="D82" s="12"/>
      <c r="E82" s="22"/>
    </row>
    <row r="83" spans="4:5" ht="15">
      <c r="D83" s="12"/>
      <c r="E83" s="22"/>
    </row>
    <row r="84" spans="4:5" ht="15">
      <c r="D84" s="12"/>
      <c r="E84" s="22"/>
    </row>
    <row r="85" spans="4:5" ht="15">
      <c r="D85" s="12"/>
      <c r="E85" s="22"/>
    </row>
    <row r="86" spans="4:5" ht="15">
      <c r="D86" s="12"/>
      <c r="E86" s="22"/>
    </row>
    <row r="87" spans="4:5" ht="15">
      <c r="D87" s="12"/>
      <c r="E87" s="22"/>
    </row>
    <row r="88" spans="4:5" ht="15">
      <c r="D88" s="12"/>
      <c r="E88" s="22"/>
    </row>
    <row r="89" spans="4:5" ht="15">
      <c r="D89" s="12"/>
      <c r="E89" s="22"/>
    </row>
    <row r="90" spans="4:5" ht="15">
      <c r="D90" s="12"/>
      <c r="E90" s="22"/>
    </row>
    <row r="91" spans="4:5" ht="15">
      <c r="D91" s="12"/>
      <c r="E91" s="22"/>
    </row>
    <row r="92" spans="4:5" ht="15">
      <c r="D92" s="12"/>
      <c r="E92" s="22"/>
    </row>
    <row r="93" spans="4:5" ht="15">
      <c r="D93" s="12"/>
      <c r="E93" s="22"/>
    </row>
    <row r="94" spans="4:5" ht="15">
      <c r="D94" s="12"/>
      <c r="E94" s="22"/>
    </row>
    <row r="95" spans="4:5" ht="15">
      <c r="D95" s="12"/>
      <c r="E95" s="22"/>
    </row>
    <row r="96" spans="4:5" ht="15">
      <c r="D96" s="12"/>
      <c r="E96" s="22"/>
    </row>
    <row r="97" spans="4:5" ht="15">
      <c r="D97" s="12"/>
      <c r="E97" s="22"/>
    </row>
    <row r="98" spans="4:5" ht="15">
      <c r="D98" s="12"/>
      <c r="E98" s="22"/>
    </row>
    <row r="99" spans="4:5" ht="15">
      <c r="D99" s="12"/>
      <c r="E99" s="22"/>
    </row>
    <row r="100" spans="4:5" ht="15">
      <c r="D100" s="12"/>
      <c r="E100" s="22"/>
    </row>
    <row r="101" spans="4:5" ht="15">
      <c r="D101" s="12"/>
      <c r="E101" s="22"/>
    </row>
    <row r="102" spans="4:5" ht="15">
      <c r="D102" s="12"/>
      <c r="E102" s="22"/>
    </row>
    <row r="103" spans="4:5" ht="15">
      <c r="D103" s="12"/>
      <c r="E103" s="22"/>
    </row>
    <row r="104" spans="4:5" ht="15">
      <c r="D104" s="12"/>
      <c r="E104" s="22"/>
    </row>
    <row r="105" spans="4:5" ht="15">
      <c r="D105" s="12"/>
      <c r="E105" s="22"/>
    </row>
    <row r="106" spans="4:5" ht="15">
      <c r="D106" s="12"/>
      <c r="E106" s="22"/>
    </row>
    <row r="107" spans="4:5" ht="15">
      <c r="D107" s="12"/>
      <c r="E107" s="22"/>
    </row>
    <row r="108" spans="4:5" ht="15">
      <c r="D108" s="12"/>
      <c r="E108" s="22"/>
    </row>
    <row r="109" spans="4:5" ht="15">
      <c r="D109" s="12"/>
      <c r="E109" s="22"/>
    </row>
    <row r="110" spans="4:5" ht="15">
      <c r="D110" s="12"/>
      <c r="E110" s="22"/>
    </row>
    <row r="111" spans="4:5" ht="15">
      <c r="D111" s="12"/>
      <c r="E111" s="22"/>
    </row>
    <row r="112" spans="4:5" ht="15">
      <c r="D112" s="12"/>
      <c r="E112" s="22"/>
    </row>
    <row r="113" spans="4:5" ht="15">
      <c r="D113" s="12"/>
      <c r="E113" s="22"/>
    </row>
    <row r="114" spans="4:5" ht="15">
      <c r="D114" s="12"/>
      <c r="E114" s="22"/>
    </row>
    <row r="115" spans="4:5" ht="15">
      <c r="D115" s="12"/>
      <c r="E115" s="22"/>
    </row>
    <row r="116" spans="4:5" ht="15">
      <c r="D116" s="12"/>
      <c r="E116" s="22"/>
    </row>
    <row r="117" spans="4:5" ht="15">
      <c r="D117" s="12"/>
      <c r="E117" s="22"/>
    </row>
    <row r="118" spans="4:5" ht="15">
      <c r="D118" s="12"/>
      <c r="E118" s="22"/>
    </row>
    <row r="119" spans="4:5" ht="15">
      <c r="D119" s="12"/>
      <c r="E119" s="22"/>
    </row>
    <row r="120" spans="4:5" ht="15">
      <c r="D120" s="12"/>
      <c r="E120" s="22"/>
    </row>
    <row r="121" spans="4:5" ht="15">
      <c r="D121" s="12"/>
      <c r="E121" s="22"/>
    </row>
    <row r="122" spans="4:5" ht="15">
      <c r="D122" s="12"/>
      <c r="E122" s="22"/>
    </row>
    <row r="123" spans="4:5" ht="15">
      <c r="D123" s="12"/>
      <c r="E123" s="22"/>
    </row>
    <row r="124" spans="4:5" ht="15">
      <c r="D124" s="12"/>
      <c r="E124" s="22"/>
    </row>
    <row r="125" spans="4:5" ht="15">
      <c r="D125" s="12"/>
      <c r="E125" s="22"/>
    </row>
    <row r="126" spans="4:5" ht="15">
      <c r="D126" s="12"/>
      <c r="E126" s="22"/>
    </row>
    <row r="127" spans="4:5" ht="15">
      <c r="D127" s="12"/>
      <c r="E127" s="22"/>
    </row>
    <row r="128" spans="4:5" ht="15">
      <c r="D128" s="12"/>
      <c r="E128" s="22"/>
    </row>
    <row r="129" spans="4:5" ht="15">
      <c r="D129" s="12"/>
      <c r="E129" s="22"/>
    </row>
    <row r="130" spans="4:5" ht="15">
      <c r="D130" s="12"/>
      <c r="E130" s="22"/>
    </row>
  </sheetData>
  <sheetProtection/>
  <mergeCells count="16">
    <mergeCell ref="A14:F14"/>
    <mergeCell ref="A15:F15"/>
    <mergeCell ref="A21:A22"/>
    <mergeCell ref="B21:B22"/>
    <mergeCell ref="D21:D22"/>
    <mergeCell ref="E21:E22"/>
    <mergeCell ref="A16:F16"/>
    <mergeCell ref="A17:F17"/>
    <mergeCell ref="A8:B8"/>
    <mergeCell ref="E8:F8"/>
    <mergeCell ref="A9:B9"/>
    <mergeCell ref="D9:F9"/>
    <mergeCell ref="A10:B10"/>
    <mergeCell ref="D10:F10"/>
    <mergeCell ref="A11:B11"/>
    <mergeCell ref="A12:B12"/>
  </mergeCells>
  <printOptions/>
  <pageMargins left="1.1811023622047245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R130"/>
  <sheetViews>
    <sheetView zoomScalePageLayoutView="0" workbookViewId="0" topLeftCell="A8">
      <selection activeCell="A12" sqref="A12:B12"/>
    </sheetView>
  </sheetViews>
  <sheetFormatPr defaultColWidth="9.140625" defaultRowHeight="15"/>
  <cols>
    <col min="1" max="1" width="5.8515625" style="4" customWidth="1"/>
    <col min="2" max="2" width="38.00390625" style="4" customWidth="1"/>
    <col min="3" max="3" width="17.7109375" style="4" hidden="1" customWidth="1"/>
    <col min="4" max="4" width="14.28125" style="4" customWidth="1"/>
    <col min="5" max="5" width="13.7109375" style="19" customWidth="1"/>
    <col min="6" max="6" width="10.140625" style="30" customWidth="1"/>
    <col min="7" max="7" width="10.57421875" style="31" customWidth="1"/>
    <col min="8" max="8" width="10.421875" style="31" customWidth="1"/>
    <col min="9" max="9" width="10.00390625" style="31" customWidth="1"/>
    <col min="10" max="10" width="9.8515625" style="31" customWidth="1"/>
    <col min="11" max="11" width="9.28125" style="31" customWidth="1"/>
    <col min="12" max="14" width="9.8515625" style="31" customWidth="1"/>
    <col min="15" max="23" width="9.8515625" style="31" hidden="1" customWidth="1"/>
    <col min="24" max="39" width="9.8515625" style="31" customWidth="1"/>
    <col min="40" max="40" width="11.421875" style="31" customWidth="1"/>
    <col min="41" max="41" width="11.00390625" style="31" customWidth="1"/>
    <col min="42" max="42" width="11.140625" style="31" customWidth="1"/>
    <col min="43" max="44" width="9.140625" style="31" customWidth="1"/>
    <col min="45" max="16384" width="9.140625" style="4" customWidth="1"/>
  </cols>
  <sheetData>
    <row r="1" spans="1:5" ht="15.75" hidden="1">
      <c r="A1" s="1" t="s">
        <v>0</v>
      </c>
      <c r="E1" s="18" t="s">
        <v>9</v>
      </c>
    </row>
    <row r="2" spans="1:5" ht="15.75" hidden="1">
      <c r="A2" s="1" t="s">
        <v>1</v>
      </c>
      <c r="E2" s="18" t="s">
        <v>11</v>
      </c>
    </row>
    <row r="3" spans="1:5" ht="15.75" hidden="1">
      <c r="A3" s="1" t="s">
        <v>2</v>
      </c>
      <c r="E3" s="18" t="s">
        <v>10</v>
      </c>
    </row>
    <row r="4" ht="15.75" hidden="1">
      <c r="A4" s="1" t="s">
        <v>3</v>
      </c>
    </row>
    <row r="5" ht="15" hidden="1"/>
    <row r="6" spans="1:5" ht="112.5" hidden="1">
      <c r="A6" s="2" t="s">
        <v>12</v>
      </c>
      <c r="B6" s="3"/>
      <c r="C6" s="3"/>
      <c r="D6" s="3"/>
      <c r="E6" s="20"/>
    </row>
    <row r="7" spans="1:5" ht="15" hidden="1">
      <c r="A7" s="3" t="s">
        <v>53</v>
      </c>
      <c r="B7" s="3"/>
      <c r="C7" s="3"/>
      <c r="D7" s="3"/>
      <c r="E7" s="21"/>
    </row>
    <row r="8" spans="1:6" ht="15.75" customHeight="1">
      <c r="A8" s="60" t="s">
        <v>0</v>
      </c>
      <c r="B8" s="61"/>
      <c r="C8" s="52"/>
      <c r="D8" s="53"/>
      <c r="E8" s="62" t="s">
        <v>9</v>
      </c>
      <c r="F8" s="63"/>
    </row>
    <row r="9" spans="1:6" ht="15">
      <c r="A9" s="61" t="s">
        <v>83</v>
      </c>
      <c r="B9" s="61"/>
      <c r="C9" s="52"/>
      <c r="D9" s="64" t="s">
        <v>114</v>
      </c>
      <c r="E9" s="63"/>
      <c r="F9" s="63"/>
    </row>
    <row r="10" spans="1:6" ht="15">
      <c r="A10" s="61" t="s">
        <v>84</v>
      </c>
      <c r="B10" s="61"/>
      <c r="C10" s="52"/>
      <c r="D10" s="64" t="s">
        <v>116</v>
      </c>
      <c r="E10" s="63"/>
      <c r="F10" s="63"/>
    </row>
    <row r="11" spans="1:5" ht="15">
      <c r="A11" s="61" t="s">
        <v>2</v>
      </c>
      <c r="B11" s="61"/>
      <c r="C11" s="52"/>
      <c r="D11" s="52"/>
      <c r="E11" s="21"/>
    </row>
    <row r="12" spans="1:5" ht="15" customHeight="1">
      <c r="A12" s="61" t="s">
        <v>127</v>
      </c>
      <c r="B12" s="61"/>
      <c r="C12" s="52"/>
      <c r="D12" s="52"/>
      <c r="E12" s="21"/>
    </row>
    <row r="13" spans="1:5" ht="15">
      <c r="A13" s="54"/>
      <c r="B13" s="54"/>
      <c r="C13" s="52"/>
      <c r="D13" s="52"/>
      <c r="E13" s="21"/>
    </row>
    <row r="14" spans="1:6" ht="15.75">
      <c r="A14" s="67" t="s">
        <v>86</v>
      </c>
      <c r="B14" s="67"/>
      <c r="C14" s="67"/>
      <c r="D14" s="67"/>
      <c r="E14" s="67"/>
      <c r="F14" s="67"/>
    </row>
    <row r="15" spans="1:6" ht="15.75">
      <c r="A15" s="67" t="s">
        <v>87</v>
      </c>
      <c r="B15" s="67"/>
      <c r="C15" s="67"/>
      <c r="D15" s="67"/>
      <c r="E15" s="67"/>
      <c r="F15" s="67"/>
    </row>
    <row r="16" spans="1:6" ht="15.75">
      <c r="A16" s="67" t="s">
        <v>88</v>
      </c>
      <c r="B16" s="67"/>
      <c r="C16" s="67"/>
      <c r="D16" s="67"/>
      <c r="E16" s="67"/>
      <c r="F16" s="67"/>
    </row>
    <row r="17" spans="1:6" ht="15">
      <c r="A17" s="80" t="s">
        <v>104</v>
      </c>
      <c r="B17" s="81"/>
      <c r="C17" s="81"/>
      <c r="D17" s="81"/>
      <c r="E17" s="81"/>
      <c r="F17" s="81"/>
    </row>
    <row r="18" spans="1:5" ht="15">
      <c r="A18" s="3"/>
      <c r="B18" s="3"/>
      <c r="C18" s="3"/>
      <c r="D18" s="3"/>
      <c r="E18" s="55"/>
    </row>
    <row r="19" spans="1:9" ht="28.5">
      <c r="A19" s="10" t="s">
        <v>47</v>
      </c>
      <c r="B19" s="3"/>
      <c r="C19" s="3"/>
      <c r="D19" s="3"/>
      <c r="E19" s="48"/>
      <c r="H19" s="51">
        <v>3539.68</v>
      </c>
      <c r="I19" s="31">
        <v>77549.72</v>
      </c>
    </row>
    <row r="20" ht="15">
      <c r="D20" s="16"/>
    </row>
    <row r="21" spans="1:42" ht="42" customHeight="1">
      <c r="A21" s="74" t="s">
        <v>8</v>
      </c>
      <c r="B21" s="74" t="s">
        <v>4</v>
      </c>
      <c r="C21" s="28" t="s">
        <v>5</v>
      </c>
      <c r="D21" s="75" t="s">
        <v>6</v>
      </c>
      <c r="E21" s="77" t="s">
        <v>7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3"/>
    </row>
    <row r="22" spans="1:42" ht="14.25" customHeight="1">
      <c r="A22" s="74"/>
      <c r="B22" s="74"/>
      <c r="C22" s="28"/>
      <c r="D22" s="76"/>
      <c r="E22" s="77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6"/>
    </row>
    <row r="23" spans="1:44" s="11" customFormat="1" ht="51">
      <c r="A23" s="23">
        <v>1</v>
      </c>
      <c r="B23" s="24" t="s">
        <v>13</v>
      </c>
      <c r="C23" s="25"/>
      <c r="D23" s="44">
        <f>D24+D25+D54+D55</f>
        <v>1664425.4842256035</v>
      </c>
      <c r="E23" s="50">
        <f>E24+E25+E54+E55</f>
        <v>39.18493301243812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6"/>
      <c r="AQ23" s="38"/>
      <c r="AR23" s="38"/>
    </row>
    <row r="24" spans="1:44" ht="51.75" customHeight="1">
      <c r="A24" s="8">
        <v>2</v>
      </c>
      <c r="B24" s="5" t="s">
        <v>45</v>
      </c>
      <c r="C24" s="13" t="s">
        <v>54</v>
      </c>
      <c r="D24" s="45">
        <f>1905742/77549.72*3539.68</f>
        <v>86985.70210904694</v>
      </c>
      <c r="E24" s="26">
        <f>D24/H19/12</f>
        <v>2.0478711378111143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6"/>
      <c r="AQ24" s="40"/>
      <c r="AR24" s="40"/>
    </row>
    <row r="25" spans="1:44" ht="25.5">
      <c r="A25" s="8">
        <v>3</v>
      </c>
      <c r="B25" s="5" t="s">
        <v>29</v>
      </c>
      <c r="C25" s="13"/>
      <c r="D25" s="45">
        <f>D26+D27+D28+D29+D30+D31+D32+D33+D34+D35+D36+D37+D38+D39+D40+D41+D42+D43+D44+D45+D46+D47+D48+D49+D50+D51+D52+D53+D54+D55+D56</f>
        <v>1577439.7821165565</v>
      </c>
      <c r="E25" s="26">
        <f>SUM(E26:E56)</f>
        <v>37.13706187462701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0"/>
      <c r="AR25" s="40"/>
    </row>
    <row r="26" spans="1:44" ht="25.5">
      <c r="A26" s="9">
        <v>3.1</v>
      </c>
      <c r="B26" s="5" t="s">
        <v>14</v>
      </c>
      <c r="C26" s="13"/>
      <c r="D26" s="46"/>
      <c r="E26" s="27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6"/>
      <c r="AQ26" s="40"/>
      <c r="AR26" s="40"/>
    </row>
    <row r="27" spans="1:44" ht="24">
      <c r="A27" s="6">
        <v>3.2</v>
      </c>
      <c r="B27" s="5" t="s">
        <v>15</v>
      </c>
      <c r="C27" s="13" t="s">
        <v>57</v>
      </c>
      <c r="D27" s="46">
        <f>353626/77549.72*3539.68</f>
        <v>16140.907790253787</v>
      </c>
      <c r="E27" s="27">
        <f>D27/H19/12</f>
        <v>0.3799992228641616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36"/>
      <c r="AQ27" s="40"/>
      <c r="AR27" s="40"/>
    </row>
    <row r="28" spans="1:44" ht="25.5">
      <c r="A28" s="9">
        <v>3.3</v>
      </c>
      <c r="B28" s="5" t="s">
        <v>16</v>
      </c>
      <c r="C28" s="13" t="s">
        <v>59</v>
      </c>
      <c r="D28" s="46">
        <f>158201/77549.72*3539.68</f>
        <v>7220.92762784959</v>
      </c>
      <c r="E28" s="27">
        <f>D28/H19/12</f>
        <v>0.1699995392203436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36"/>
      <c r="AQ28" s="40"/>
      <c r="AR28" s="40"/>
    </row>
    <row r="29" spans="1:44" ht="34.5" customHeight="1">
      <c r="A29" s="6" t="s">
        <v>68</v>
      </c>
      <c r="B29" s="5" t="s">
        <v>17</v>
      </c>
      <c r="C29" s="13" t="s">
        <v>56</v>
      </c>
      <c r="D29" s="46"/>
      <c r="E29" s="27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6"/>
      <c r="AQ29" s="40"/>
      <c r="AR29" s="40"/>
    </row>
    <row r="30" spans="1:44" ht="34.5" customHeight="1">
      <c r="A30" s="6" t="s">
        <v>69</v>
      </c>
      <c r="B30" s="5" t="s">
        <v>70</v>
      </c>
      <c r="C30" s="13"/>
      <c r="D30" s="46"/>
      <c r="E30" s="27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6"/>
      <c r="AQ30" s="40"/>
      <c r="AR30" s="40"/>
    </row>
    <row r="31" spans="1:44" ht="41.25" customHeight="1">
      <c r="A31" s="6" t="s">
        <v>71</v>
      </c>
      <c r="B31" s="5" t="s">
        <v>72</v>
      </c>
      <c r="C31" s="13"/>
      <c r="D31" s="46"/>
      <c r="E31" s="27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6"/>
      <c r="AQ31" s="40"/>
      <c r="AR31" s="40"/>
    </row>
    <row r="32" spans="1:44" ht="25.5">
      <c r="A32" s="9">
        <v>3.7</v>
      </c>
      <c r="B32" s="5" t="s">
        <v>18</v>
      </c>
      <c r="C32" s="13" t="s">
        <v>57</v>
      </c>
      <c r="D32" s="46">
        <f>2345097/77549.72*3539.68</f>
        <v>107039.62501682791</v>
      </c>
      <c r="E32" s="27">
        <f>D32/H19/12</f>
        <v>2.5199929799875487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36"/>
      <c r="AQ32" s="40"/>
      <c r="AR32" s="40"/>
    </row>
    <row r="33" spans="1:44" ht="25.5">
      <c r="A33" s="6">
        <v>3.8</v>
      </c>
      <c r="B33" s="5" t="s">
        <v>64</v>
      </c>
      <c r="C33" s="13" t="s">
        <v>57</v>
      </c>
      <c r="D33" s="46">
        <f>651416/77549.72*3539.68</f>
        <v>29733.236778675662</v>
      </c>
      <c r="E33" s="27">
        <f>D33/H19/12</f>
        <v>0.6999982290931116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36"/>
      <c r="AQ33" s="40"/>
      <c r="AR33" s="40"/>
    </row>
    <row r="34" spans="1:44" ht="25.5">
      <c r="A34" s="9">
        <v>3.9</v>
      </c>
      <c r="B34" s="5" t="s">
        <v>19</v>
      </c>
      <c r="C34" s="13" t="s">
        <v>57</v>
      </c>
      <c r="D34" s="46">
        <f>697946/77549.72*3539.68</f>
        <v>31857.052446868922</v>
      </c>
      <c r="E34" s="27">
        <f>D34/H19/12</f>
        <v>0.7499984096224547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36"/>
      <c r="AQ34" s="40"/>
      <c r="AR34" s="40"/>
    </row>
    <row r="35" spans="1:44" ht="25.5">
      <c r="A35" s="6" t="s">
        <v>30</v>
      </c>
      <c r="B35" s="5" t="s">
        <v>65</v>
      </c>
      <c r="C35" s="13" t="s">
        <v>57</v>
      </c>
      <c r="D35" s="46"/>
      <c r="E35" s="27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36"/>
      <c r="AQ35" s="40"/>
      <c r="AR35" s="40"/>
    </row>
    <row r="36" spans="1:44" ht="25.5">
      <c r="A36" s="6" t="s">
        <v>31</v>
      </c>
      <c r="B36" s="5" t="s">
        <v>66</v>
      </c>
      <c r="C36" s="13"/>
      <c r="D36" s="46"/>
      <c r="E36" s="27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36"/>
      <c r="AQ36" s="40"/>
      <c r="AR36" s="40"/>
    </row>
    <row r="37" spans="1:44" ht="40.5" customHeight="1">
      <c r="A37" s="6" t="s">
        <v>32</v>
      </c>
      <c r="B37" s="5" t="s">
        <v>20</v>
      </c>
      <c r="C37" s="13"/>
      <c r="D37" s="46"/>
      <c r="E37" s="27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36"/>
      <c r="AQ37" s="40"/>
      <c r="AR37" s="40"/>
    </row>
    <row r="38" spans="1:44" ht="51">
      <c r="A38" s="6" t="s">
        <v>33</v>
      </c>
      <c r="B38" s="5" t="s">
        <v>21</v>
      </c>
      <c r="C38" s="13" t="s">
        <v>58</v>
      </c>
      <c r="D38" s="46">
        <f>2373015/77549.72*3539.68</f>
        <v>108313.91441774386</v>
      </c>
      <c r="E38" s="27">
        <f>D38/H19/12</f>
        <v>2.5499930883051545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36"/>
      <c r="AQ38" s="40"/>
      <c r="AR38" s="40"/>
    </row>
    <row r="39" spans="1:44" ht="33" customHeight="1">
      <c r="A39" s="6" t="s">
        <v>34</v>
      </c>
      <c r="B39" s="5" t="s">
        <v>73</v>
      </c>
      <c r="C39" s="13"/>
      <c r="D39" s="46"/>
      <c r="E39" s="27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36"/>
      <c r="AQ39" s="40"/>
      <c r="AR39" s="40"/>
    </row>
    <row r="40" spans="1:44" ht="41.25" customHeight="1">
      <c r="A40" s="6" t="s">
        <v>35</v>
      </c>
      <c r="B40" s="5" t="s">
        <v>22</v>
      </c>
      <c r="C40" s="13"/>
      <c r="D40" s="46"/>
      <c r="E40" s="27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36"/>
      <c r="AQ40" s="40"/>
      <c r="AR40" s="40"/>
    </row>
    <row r="41" spans="1:44" ht="41.25" customHeight="1">
      <c r="A41" s="6" t="s">
        <v>36</v>
      </c>
      <c r="B41" s="5" t="s">
        <v>74</v>
      </c>
      <c r="C41" s="13"/>
      <c r="D41" s="46"/>
      <c r="E41" s="27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36"/>
      <c r="AQ41" s="40"/>
      <c r="AR41" s="40"/>
    </row>
    <row r="42" spans="1:44" ht="40.5" customHeight="1">
      <c r="A42" s="6" t="s">
        <v>37</v>
      </c>
      <c r="B42" s="5" t="s">
        <v>75</v>
      </c>
      <c r="C42" s="13" t="s">
        <v>54</v>
      </c>
      <c r="D42" s="47">
        <f>2696000/77549.72*3539.68</f>
        <v>123056.24417470495</v>
      </c>
      <c r="E42" s="27">
        <f>D42/H19/12</f>
        <v>2.8970661230842185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36"/>
      <c r="AQ42" s="40"/>
      <c r="AR42" s="40"/>
    </row>
    <row r="43" spans="1:44" ht="51">
      <c r="A43" s="6" t="s">
        <v>38</v>
      </c>
      <c r="B43" s="5" t="s">
        <v>67</v>
      </c>
      <c r="C43" s="13"/>
      <c r="D43" s="46"/>
      <c r="E43" s="27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36"/>
      <c r="AQ43" s="40"/>
      <c r="AR43" s="40"/>
    </row>
    <row r="44" spans="1:44" ht="40.5" customHeight="1">
      <c r="A44" s="6" t="s">
        <v>39</v>
      </c>
      <c r="B44" s="5" t="s">
        <v>76</v>
      </c>
      <c r="C44" s="13"/>
      <c r="D44" s="46"/>
      <c r="E44" s="27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36"/>
      <c r="AQ44" s="40"/>
      <c r="AR44" s="40"/>
    </row>
    <row r="45" spans="1:44" ht="39" customHeight="1">
      <c r="A45" s="6" t="s">
        <v>40</v>
      </c>
      <c r="B45" s="5" t="s">
        <v>77</v>
      </c>
      <c r="C45" s="13" t="s">
        <v>54</v>
      </c>
      <c r="D45" s="29">
        <f>1448000/77549.72*3539.68</f>
        <v>66092.52283567238</v>
      </c>
      <c r="E45" s="27">
        <f>D45/H19/12</f>
        <v>1.5559910037930074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36"/>
      <c r="AQ45" s="40"/>
      <c r="AR45" s="40"/>
    </row>
    <row r="46" spans="1:44" ht="39" customHeight="1">
      <c r="A46" s="6" t="s">
        <v>41</v>
      </c>
      <c r="B46" s="5" t="s">
        <v>78</v>
      </c>
      <c r="C46" s="13"/>
      <c r="D46" s="29"/>
      <c r="E46" s="27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36"/>
      <c r="AQ46" s="40"/>
      <c r="AR46" s="40"/>
    </row>
    <row r="47" spans="1:44" ht="25.5">
      <c r="A47" s="6" t="s">
        <v>42</v>
      </c>
      <c r="B47" s="5" t="s">
        <v>62</v>
      </c>
      <c r="C47" s="13" t="s">
        <v>54</v>
      </c>
      <c r="D47" s="46"/>
      <c r="E47" s="27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36"/>
      <c r="AQ47" s="40"/>
      <c r="AR47" s="40"/>
    </row>
    <row r="48" spans="1:44" ht="25.5">
      <c r="A48" s="6" t="s">
        <v>43</v>
      </c>
      <c r="B48" s="7" t="s">
        <v>63</v>
      </c>
      <c r="C48" s="13" t="s">
        <v>54</v>
      </c>
      <c r="D48" s="46">
        <f>13972201/77549.72*3539.68</f>
        <v>637747.2470007628</v>
      </c>
      <c r="E48" s="27">
        <f>D48/H19/12</f>
        <v>15.014239681759435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36"/>
      <c r="AQ48" s="40"/>
      <c r="AR48" s="40"/>
    </row>
    <row r="49" spans="1:44" ht="25.5">
      <c r="A49" s="6" t="s">
        <v>46</v>
      </c>
      <c r="B49" s="5" t="s">
        <v>23</v>
      </c>
      <c r="C49" s="13" t="s">
        <v>60</v>
      </c>
      <c r="D49" s="46">
        <f>465297/77549.72*3539.68</f>
        <v>21238.01974991012</v>
      </c>
      <c r="E49" s="27">
        <f>D49/H19/12</f>
        <v>0.49999858155516225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36"/>
      <c r="AQ49" s="40"/>
      <c r="AR49" s="40"/>
    </row>
    <row r="50" spans="1:44" ht="25.5">
      <c r="A50" s="6" t="s">
        <v>79</v>
      </c>
      <c r="B50" s="5" t="s">
        <v>24</v>
      </c>
      <c r="C50" s="13" t="s">
        <v>61</v>
      </c>
      <c r="D50" s="46">
        <f>5667319/77549.72*3539.68</f>
        <v>258679.15084567678</v>
      </c>
      <c r="E50" s="27">
        <f>D50/H19/12</f>
        <v>6.089984378194187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36"/>
      <c r="AQ50" s="40"/>
      <c r="AR50" s="40"/>
    </row>
    <row r="51" spans="1:44" ht="38.25">
      <c r="A51" s="6" t="s">
        <v>80</v>
      </c>
      <c r="B51" s="5" t="s">
        <v>25</v>
      </c>
      <c r="C51" s="17" t="s">
        <v>55</v>
      </c>
      <c r="D51" s="29">
        <f>2308000/77549.72*3539.68</f>
        <v>105346.36927122367</v>
      </c>
      <c r="E51" s="27">
        <f>D51/H19/12</f>
        <v>2.4801293071507327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36"/>
      <c r="AQ51" s="40"/>
      <c r="AR51" s="40"/>
    </row>
    <row r="52" spans="1:44" ht="25.5">
      <c r="A52" s="6" t="s">
        <v>81</v>
      </c>
      <c r="B52" s="5" t="s">
        <v>26</v>
      </c>
      <c r="C52" s="13" t="s">
        <v>54</v>
      </c>
      <c r="D52" s="29">
        <f>9000/77549.72*3539.68</f>
        <v>410.79606734879246</v>
      </c>
      <c r="E52" s="27">
        <f>D52/H19/12</f>
        <v>0.009671214802580848</v>
      </c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36"/>
      <c r="AQ52" s="40"/>
      <c r="AR52" s="40"/>
    </row>
    <row r="53" spans="1:44" ht="38.25">
      <c r="A53" s="6" t="s">
        <v>82</v>
      </c>
      <c r="B53" s="5" t="s">
        <v>27</v>
      </c>
      <c r="C53" s="14" t="s">
        <v>54</v>
      </c>
      <c r="D53" s="29">
        <f>1414507/77549.72*3539.68</f>
        <v>64563.7680930376</v>
      </c>
      <c r="E53" s="27">
        <f>D53/H19/12</f>
        <v>1.5200001151949143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36"/>
      <c r="AQ53" s="40"/>
      <c r="AR53" s="40"/>
    </row>
    <row r="54" spans="1:44" ht="25.5">
      <c r="A54" s="6" t="s">
        <v>44</v>
      </c>
      <c r="B54" s="5" t="s">
        <v>28</v>
      </c>
      <c r="C54" s="15" t="s">
        <v>54</v>
      </c>
      <c r="D54" s="46"/>
      <c r="E54" s="27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36"/>
      <c r="AQ54" s="40"/>
      <c r="AR54" s="40"/>
    </row>
    <row r="55" spans="1:44" ht="38.25">
      <c r="A55" s="6" t="s">
        <v>48</v>
      </c>
      <c r="B55" s="5" t="s">
        <v>49</v>
      </c>
      <c r="C55" s="13" t="s">
        <v>52</v>
      </c>
      <c r="D55" s="46"/>
      <c r="E55" s="27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36"/>
      <c r="AQ55" s="40"/>
      <c r="AR55" s="40"/>
    </row>
    <row r="56" spans="1:44" ht="38.25">
      <c r="A56" s="6" t="s">
        <v>50</v>
      </c>
      <c r="B56" s="5" t="s">
        <v>51</v>
      </c>
      <c r="C56" s="13" t="s">
        <v>52</v>
      </c>
      <c r="D56" s="46"/>
      <c r="E56" s="27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36"/>
      <c r="AQ56" s="40"/>
      <c r="AR56" s="40"/>
    </row>
    <row r="57" spans="4:5" ht="15">
      <c r="D57" s="12"/>
      <c r="E57" s="22"/>
    </row>
    <row r="58" spans="4:5" ht="15">
      <c r="D58" s="12"/>
      <c r="E58" s="22"/>
    </row>
    <row r="59" spans="4:5" ht="15">
      <c r="D59" s="12"/>
      <c r="E59" s="22"/>
    </row>
    <row r="60" spans="4:5" ht="15">
      <c r="D60" s="12"/>
      <c r="E60" s="22"/>
    </row>
    <row r="61" spans="4:5" ht="15">
      <c r="D61" s="12"/>
      <c r="E61" s="22"/>
    </row>
    <row r="62" spans="4:5" ht="15">
      <c r="D62" s="12"/>
      <c r="E62" s="22"/>
    </row>
    <row r="63" spans="4:5" ht="15">
      <c r="D63" s="12"/>
      <c r="E63" s="22"/>
    </row>
    <row r="64" spans="4:5" ht="15">
      <c r="D64" s="12"/>
      <c r="E64" s="22"/>
    </row>
    <row r="65" spans="4:5" ht="15">
      <c r="D65" s="12"/>
      <c r="E65" s="22"/>
    </row>
    <row r="66" spans="4:5" ht="15">
      <c r="D66" s="12"/>
      <c r="E66" s="22"/>
    </row>
    <row r="67" spans="4:5" ht="15">
      <c r="D67" s="12"/>
      <c r="E67" s="22"/>
    </row>
    <row r="68" spans="4:5" ht="15">
      <c r="D68" s="12"/>
      <c r="E68" s="22"/>
    </row>
    <row r="69" spans="4:5" ht="15">
      <c r="D69" s="12"/>
      <c r="E69" s="22"/>
    </row>
    <row r="70" spans="4:5" ht="15">
      <c r="D70" s="12"/>
      <c r="E70" s="22"/>
    </row>
    <row r="71" spans="4:5" ht="15">
      <c r="D71" s="12"/>
      <c r="E71" s="22"/>
    </row>
    <row r="72" spans="4:5" ht="15">
      <c r="D72" s="12"/>
      <c r="E72" s="22"/>
    </row>
    <row r="73" spans="4:5" ht="15">
      <c r="D73" s="12"/>
      <c r="E73" s="22"/>
    </row>
    <row r="74" spans="4:5" ht="15">
      <c r="D74" s="12"/>
      <c r="E74" s="22"/>
    </row>
    <row r="75" spans="4:5" ht="15">
      <c r="D75" s="12"/>
      <c r="E75" s="22"/>
    </row>
    <row r="76" spans="4:5" ht="15">
      <c r="D76" s="12"/>
      <c r="E76" s="22"/>
    </row>
    <row r="77" spans="4:5" ht="15">
      <c r="D77" s="12"/>
      <c r="E77" s="22"/>
    </row>
    <row r="78" spans="4:5" ht="15">
      <c r="D78" s="12"/>
      <c r="E78" s="22"/>
    </row>
    <row r="79" spans="4:5" ht="15">
      <c r="D79" s="12"/>
      <c r="E79" s="22"/>
    </row>
    <row r="80" spans="4:5" ht="15">
      <c r="D80" s="12"/>
      <c r="E80" s="22"/>
    </row>
    <row r="81" spans="4:5" ht="15">
      <c r="D81" s="12"/>
      <c r="E81" s="22"/>
    </row>
    <row r="82" spans="4:5" ht="15">
      <c r="D82" s="12"/>
      <c r="E82" s="22"/>
    </row>
    <row r="83" spans="4:5" ht="15">
      <c r="D83" s="12"/>
      <c r="E83" s="22"/>
    </row>
    <row r="84" spans="4:5" ht="15">
      <c r="D84" s="12"/>
      <c r="E84" s="22"/>
    </row>
    <row r="85" spans="4:5" ht="15">
      <c r="D85" s="12"/>
      <c r="E85" s="22"/>
    </row>
    <row r="86" spans="4:5" ht="15">
      <c r="D86" s="12"/>
      <c r="E86" s="22"/>
    </row>
    <row r="87" spans="4:5" ht="15">
      <c r="D87" s="12"/>
      <c r="E87" s="22"/>
    </row>
    <row r="88" spans="4:5" ht="15">
      <c r="D88" s="12"/>
      <c r="E88" s="22"/>
    </row>
    <row r="89" spans="4:5" ht="15">
      <c r="D89" s="12"/>
      <c r="E89" s="22"/>
    </row>
    <row r="90" spans="4:5" ht="15">
      <c r="D90" s="12"/>
      <c r="E90" s="22"/>
    </row>
    <row r="91" spans="4:5" ht="15">
      <c r="D91" s="12"/>
      <c r="E91" s="22"/>
    </row>
    <row r="92" spans="4:5" ht="15">
      <c r="D92" s="12"/>
      <c r="E92" s="22"/>
    </row>
    <row r="93" spans="4:5" ht="15">
      <c r="D93" s="12"/>
      <c r="E93" s="22"/>
    </row>
    <row r="94" spans="4:5" ht="15">
      <c r="D94" s="12"/>
      <c r="E94" s="22"/>
    </row>
    <row r="95" spans="4:5" ht="15">
      <c r="D95" s="12"/>
      <c r="E95" s="22"/>
    </row>
    <row r="96" spans="4:5" ht="15">
      <c r="D96" s="12"/>
      <c r="E96" s="22"/>
    </row>
    <row r="97" spans="4:5" ht="15">
      <c r="D97" s="12"/>
      <c r="E97" s="22"/>
    </row>
    <row r="98" spans="4:5" ht="15">
      <c r="D98" s="12"/>
      <c r="E98" s="22"/>
    </row>
    <row r="99" spans="4:5" ht="15">
      <c r="D99" s="12"/>
      <c r="E99" s="22"/>
    </row>
    <row r="100" spans="4:5" ht="15">
      <c r="D100" s="12"/>
      <c r="E100" s="22"/>
    </row>
    <row r="101" spans="4:5" ht="15">
      <c r="D101" s="12"/>
      <c r="E101" s="22"/>
    </row>
    <row r="102" spans="4:5" ht="15">
      <c r="D102" s="12"/>
      <c r="E102" s="22"/>
    </row>
    <row r="103" spans="4:5" ht="15">
      <c r="D103" s="12"/>
      <c r="E103" s="22"/>
    </row>
    <row r="104" spans="4:5" ht="15">
      <c r="D104" s="12"/>
      <c r="E104" s="22"/>
    </row>
    <row r="105" spans="4:5" ht="15">
      <c r="D105" s="12"/>
      <c r="E105" s="22"/>
    </row>
    <row r="106" spans="4:5" ht="15">
      <c r="D106" s="12"/>
      <c r="E106" s="22"/>
    </row>
    <row r="107" spans="4:5" ht="15">
      <c r="D107" s="12"/>
      <c r="E107" s="22"/>
    </row>
    <row r="108" spans="4:5" ht="15">
      <c r="D108" s="12"/>
      <c r="E108" s="22"/>
    </row>
    <row r="109" spans="4:5" ht="15">
      <c r="D109" s="12"/>
      <c r="E109" s="22"/>
    </row>
    <row r="110" spans="4:5" ht="15">
      <c r="D110" s="12"/>
      <c r="E110" s="22"/>
    </row>
    <row r="111" spans="4:5" ht="15">
      <c r="D111" s="12"/>
      <c r="E111" s="22"/>
    </row>
    <row r="112" spans="4:5" ht="15">
      <c r="D112" s="12"/>
      <c r="E112" s="22"/>
    </row>
    <row r="113" spans="4:5" ht="15">
      <c r="D113" s="12"/>
      <c r="E113" s="22"/>
    </row>
    <row r="114" spans="4:5" ht="15">
      <c r="D114" s="12"/>
      <c r="E114" s="22"/>
    </row>
    <row r="115" spans="4:5" ht="15">
      <c r="D115" s="12"/>
      <c r="E115" s="22"/>
    </row>
    <row r="116" spans="4:5" ht="15">
      <c r="D116" s="12"/>
      <c r="E116" s="22"/>
    </row>
    <row r="117" spans="4:5" ht="15">
      <c r="D117" s="12"/>
      <c r="E117" s="22"/>
    </row>
    <row r="118" spans="4:5" ht="15">
      <c r="D118" s="12"/>
      <c r="E118" s="22"/>
    </row>
    <row r="119" spans="4:5" ht="15">
      <c r="D119" s="12"/>
      <c r="E119" s="22"/>
    </row>
    <row r="120" spans="4:5" ht="15">
      <c r="D120" s="12"/>
      <c r="E120" s="22"/>
    </row>
    <row r="121" spans="4:5" ht="15">
      <c r="D121" s="12"/>
      <c r="E121" s="22"/>
    </row>
    <row r="122" spans="4:5" ht="15">
      <c r="D122" s="12"/>
      <c r="E122" s="22"/>
    </row>
    <row r="123" spans="4:5" ht="15">
      <c r="D123" s="12"/>
      <c r="E123" s="22"/>
    </row>
    <row r="124" spans="4:5" ht="15">
      <c r="D124" s="12"/>
      <c r="E124" s="22"/>
    </row>
    <row r="125" spans="4:5" ht="15">
      <c r="D125" s="12"/>
      <c r="E125" s="22"/>
    </row>
    <row r="126" spans="4:5" ht="15">
      <c r="D126" s="12"/>
      <c r="E126" s="22"/>
    </row>
    <row r="127" spans="4:5" ht="15">
      <c r="D127" s="12"/>
      <c r="E127" s="22"/>
    </row>
    <row r="128" spans="4:5" ht="15">
      <c r="D128" s="12"/>
      <c r="E128" s="22"/>
    </row>
    <row r="129" spans="4:5" ht="15">
      <c r="D129" s="12"/>
      <c r="E129" s="22"/>
    </row>
    <row r="130" spans="4:5" ht="15">
      <c r="D130" s="12"/>
      <c r="E130" s="22"/>
    </row>
  </sheetData>
  <sheetProtection/>
  <mergeCells count="16">
    <mergeCell ref="A14:F14"/>
    <mergeCell ref="A15:F15"/>
    <mergeCell ref="A21:A22"/>
    <mergeCell ref="B21:B22"/>
    <mergeCell ref="D21:D22"/>
    <mergeCell ref="E21:E22"/>
    <mergeCell ref="A16:F16"/>
    <mergeCell ref="A17:F17"/>
    <mergeCell ref="A8:B8"/>
    <mergeCell ref="E8:F8"/>
    <mergeCell ref="A9:B9"/>
    <mergeCell ref="D9:F9"/>
    <mergeCell ref="A10:B10"/>
    <mergeCell ref="D10:F10"/>
    <mergeCell ref="A11:B11"/>
    <mergeCell ref="A12:B12"/>
  </mergeCells>
  <printOptions/>
  <pageMargins left="1.1811023622047245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R130"/>
  <sheetViews>
    <sheetView zoomScalePageLayoutView="0" workbookViewId="0" topLeftCell="A8">
      <selection activeCell="A12" sqref="A12:B12"/>
    </sheetView>
  </sheetViews>
  <sheetFormatPr defaultColWidth="9.140625" defaultRowHeight="15"/>
  <cols>
    <col min="1" max="1" width="5.8515625" style="4" customWidth="1"/>
    <col min="2" max="2" width="38.00390625" style="4" customWidth="1"/>
    <col min="3" max="3" width="17.7109375" style="4" hidden="1" customWidth="1"/>
    <col min="4" max="4" width="14.28125" style="4" customWidth="1"/>
    <col min="5" max="5" width="13.7109375" style="19" customWidth="1"/>
    <col min="6" max="6" width="10.140625" style="30" customWidth="1"/>
    <col min="7" max="7" width="10.57421875" style="31" customWidth="1"/>
    <col min="8" max="8" width="10.421875" style="31" customWidth="1"/>
    <col min="9" max="9" width="10.00390625" style="31" customWidth="1"/>
    <col min="10" max="10" width="9.8515625" style="31" customWidth="1"/>
    <col min="11" max="11" width="9.28125" style="31" customWidth="1"/>
    <col min="12" max="14" width="9.8515625" style="31" customWidth="1"/>
    <col min="15" max="23" width="9.8515625" style="31" hidden="1" customWidth="1"/>
    <col min="24" max="39" width="9.8515625" style="31" customWidth="1"/>
    <col min="40" max="40" width="11.421875" style="31" customWidth="1"/>
    <col min="41" max="41" width="11.00390625" style="31" customWidth="1"/>
    <col min="42" max="42" width="11.140625" style="31" customWidth="1"/>
    <col min="43" max="44" width="9.140625" style="31" customWidth="1"/>
    <col min="45" max="16384" width="9.140625" style="4" customWidth="1"/>
  </cols>
  <sheetData>
    <row r="1" spans="1:5" ht="15.75" hidden="1">
      <c r="A1" s="1" t="s">
        <v>0</v>
      </c>
      <c r="E1" s="18" t="s">
        <v>9</v>
      </c>
    </row>
    <row r="2" spans="1:5" ht="15.75" hidden="1">
      <c r="A2" s="1" t="s">
        <v>1</v>
      </c>
      <c r="E2" s="18" t="s">
        <v>11</v>
      </c>
    </row>
    <row r="3" spans="1:5" ht="15.75" hidden="1">
      <c r="A3" s="1" t="s">
        <v>2</v>
      </c>
      <c r="E3" s="18" t="s">
        <v>10</v>
      </c>
    </row>
    <row r="4" ht="15.75" hidden="1">
      <c r="A4" s="1" t="s">
        <v>3</v>
      </c>
    </row>
    <row r="5" ht="15" hidden="1"/>
    <row r="6" spans="1:5" ht="112.5" hidden="1">
      <c r="A6" s="2" t="s">
        <v>12</v>
      </c>
      <c r="B6" s="3"/>
      <c r="C6" s="3"/>
      <c r="D6" s="3"/>
      <c r="E6" s="20"/>
    </row>
    <row r="7" spans="1:5" ht="15" hidden="1">
      <c r="A7" s="3" t="s">
        <v>53</v>
      </c>
      <c r="B7" s="3"/>
      <c r="C7" s="3"/>
      <c r="D7" s="3"/>
      <c r="E7" s="21"/>
    </row>
    <row r="8" spans="1:6" ht="15.75" customHeight="1">
      <c r="A8" s="60" t="s">
        <v>0</v>
      </c>
      <c r="B8" s="61"/>
      <c r="C8" s="52"/>
      <c r="D8" s="53"/>
      <c r="E8" s="62" t="s">
        <v>9</v>
      </c>
      <c r="F8" s="63"/>
    </row>
    <row r="9" spans="1:6" ht="15">
      <c r="A9" s="61" t="s">
        <v>83</v>
      </c>
      <c r="B9" s="61"/>
      <c r="C9" s="52"/>
      <c r="D9" s="64" t="s">
        <v>114</v>
      </c>
      <c r="E9" s="63"/>
      <c r="F9" s="63"/>
    </row>
    <row r="10" spans="1:6" ht="15">
      <c r="A10" s="61" t="s">
        <v>84</v>
      </c>
      <c r="B10" s="61"/>
      <c r="C10" s="52"/>
      <c r="D10" s="64" t="s">
        <v>118</v>
      </c>
      <c r="E10" s="63"/>
      <c r="F10" s="63"/>
    </row>
    <row r="11" spans="1:5" ht="15">
      <c r="A11" s="61" t="s">
        <v>2</v>
      </c>
      <c r="B11" s="61"/>
      <c r="C11" s="52"/>
      <c r="D11" s="52"/>
      <c r="E11" s="21"/>
    </row>
    <row r="12" spans="1:5" ht="15">
      <c r="A12" s="61" t="s">
        <v>125</v>
      </c>
      <c r="B12" s="61"/>
      <c r="C12" s="52"/>
      <c r="D12" s="52"/>
      <c r="E12" s="21"/>
    </row>
    <row r="13" spans="1:5" ht="15">
      <c r="A13" s="54"/>
      <c r="B13" s="54"/>
      <c r="C13" s="52"/>
      <c r="D13" s="52"/>
      <c r="E13" s="21"/>
    </row>
    <row r="14" spans="1:6" ht="15.75">
      <c r="A14" s="67" t="s">
        <v>86</v>
      </c>
      <c r="B14" s="67"/>
      <c r="C14" s="67"/>
      <c r="D14" s="67"/>
      <c r="E14" s="67"/>
      <c r="F14" s="67"/>
    </row>
    <row r="15" spans="1:6" ht="15.75">
      <c r="A15" s="67" t="s">
        <v>87</v>
      </c>
      <c r="B15" s="67"/>
      <c r="C15" s="67"/>
      <c r="D15" s="67"/>
      <c r="E15" s="67"/>
      <c r="F15" s="67"/>
    </row>
    <row r="16" spans="1:6" ht="15.75">
      <c r="A16" s="67" t="s">
        <v>88</v>
      </c>
      <c r="B16" s="67"/>
      <c r="C16" s="67"/>
      <c r="D16" s="67"/>
      <c r="E16" s="67"/>
      <c r="F16" s="67"/>
    </row>
    <row r="17" spans="1:6" ht="15">
      <c r="A17" s="80" t="s">
        <v>105</v>
      </c>
      <c r="B17" s="81"/>
      <c r="C17" s="81"/>
      <c r="D17" s="81"/>
      <c r="E17" s="81"/>
      <c r="F17" s="81"/>
    </row>
    <row r="18" spans="1:5" ht="15">
      <c r="A18" s="3"/>
      <c r="B18" s="3"/>
      <c r="C18" s="3"/>
      <c r="D18" s="3"/>
      <c r="E18" s="55"/>
    </row>
    <row r="19" spans="1:9" ht="28.5">
      <c r="A19" s="10" t="s">
        <v>47</v>
      </c>
      <c r="B19" s="3"/>
      <c r="C19" s="3"/>
      <c r="D19" s="3"/>
      <c r="E19" s="48"/>
      <c r="H19" s="51">
        <v>1412.9</v>
      </c>
      <c r="I19" s="31">
        <v>77549.72</v>
      </c>
    </row>
    <row r="20" ht="15">
      <c r="D20" s="16"/>
    </row>
    <row r="21" spans="1:42" ht="42" customHeight="1">
      <c r="A21" s="74" t="s">
        <v>8</v>
      </c>
      <c r="B21" s="74" t="s">
        <v>4</v>
      </c>
      <c r="C21" s="28" t="s">
        <v>5</v>
      </c>
      <c r="D21" s="75" t="s">
        <v>6</v>
      </c>
      <c r="E21" s="77" t="s">
        <v>7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3"/>
    </row>
    <row r="22" spans="1:42" ht="14.25" customHeight="1">
      <c r="A22" s="74"/>
      <c r="B22" s="74"/>
      <c r="C22" s="28"/>
      <c r="D22" s="76"/>
      <c r="E22" s="77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6"/>
    </row>
    <row r="23" spans="1:44" s="11" customFormat="1" ht="51">
      <c r="A23" s="23">
        <v>1</v>
      </c>
      <c r="B23" s="24" t="s">
        <v>13</v>
      </c>
      <c r="C23" s="25"/>
      <c r="D23" s="44">
        <f>D24+D25+D54+D55</f>
        <v>664372.7022392859</v>
      </c>
      <c r="E23" s="50">
        <f>E24+E25+E54+E55</f>
        <v>39.18493301243812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6"/>
      <c r="AQ23" s="38"/>
      <c r="AR23" s="38"/>
    </row>
    <row r="24" spans="1:44" ht="51.75" customHeight="1">
      <c r="A24" s="8">
        <v>2</v>
      </c>
      <c r="B24" s="5" t="s">
        <v>45</v>
      </c>
      <c r="C24" s="13" t="s">
        <v>54</v>
      </c>
      <c r="D24" s="45">
        <f>1905742/77549.72*1412.9</f>
        <v>34721.24556735988</v>
      </c>
      <c r="E24" s="26">
        <f>D24/H19/12</f>
        <v>2.0478711378111143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6"/>
      <c r="AQ24" s="40"/>
      <c r="AR24" s="40"/>
    </row>
    <row r="25" spans="1:44" ht="25.5">
      <c r="A25" s="8">
        <v>3</v>
      </c>
      <c r="B25" s="5" t="s">
        <v>29</v>
      </c>
      <c r="C25" s="13"/>
      <c r="D25" s="45">
        <f>D26+D27+D28+D29+D30+D31+D32+D33+D34+D35+D36+D37+D38+D39+D40+D41+D42+D43+D44+D45+D46+D47+D48+D49+D50+D51+D52+D53+D54+D55+D56</f>
        <v>629651.4566719261</v>
      </c>
      <c r="E25" s="26">
        <f>SUM(E26:E56)</f>
        <v>37.13706187462701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0"/>
      <c r="AR25" s="40"/>
    </row>
    <row r="26" spans="1:44" ht="25.5">
      <c r="A26" s="9">
        <v>3.1</v>
      </c>
      <c r="B26" s="5" t="s">
        <v>14</v>
      </c>
      <c r="C26" s="13"/>
      <c r="D26" s="46"/>
      <c r="E26" s="27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6"/>
      <c r="AQ26" s="40"/>
      <c r="AR26" s="40"/>
    </row>
    <row r="27" spans="1:44" ht="24">
      <c r="A27" s="6">
        <v>3.2</v>
      </c>
      <c r="B27" s="5" t="s">
        <v>15</v>
      </c>
      <c r="C27" s="13" t="s">
        <v>57</v>
      </c>
      <c r="D27" s="46">
        <f>353626/77549.72*1412.9</f>
        <v>6442.810823817288</v>
      </c>
      <c r="E27" s="27">
        <f>D27/H19/12</f>
        <v>0.3799992228641616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36"/>
      <c r="AQ27" s="40"/>
      <c r="AR27" s="40"/>
    </row>
    <row r="28" spans="1:44" ht="25.5">
      <c r="A28" s="9">
        <v>3.3</v>
      </c>
      <c r="B28" s="5" t="s">
        <v>16</v>
      </c>
      <c r="C28" s="13" t="s">
        <v>59</v>
      </c>
      <c r="D28" s="46">
        <f>158201/77549.72*1412.9</f>
        <v>2882.308187573082</v>
      </c>
      <c r="E28" s="27">
        <f>D28/H19/12</f>
        <v>0.1699995392203436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36"/>
      <c r="AQ28" s="40"/>
      <c r="AR28" s="40"/>
    </row>
    <row r="29" spans="1:44" ht="34.5" customHeight="1">
      <c r="A29" s="6" t="s">
        <v>68</v>
      </c>
      <c r="B29" s="5" t="s">
        <v>17</v>
      </c>
      <c r="C29" s="13" t="s">
        <v>56</v>
      </c>
      <c r="D29" s="46"/>
      <c r="E29" s="27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6"/>
      <c r="AQ29" s="40"/>
      <c r="AR29" s="40"/>
    </row>
    <row r="30" spans="1:44" ht="34.5" customHeight="1">
      <c r="A30" s="6" t="s">
        <v>69</v>
      </c>
      <c r="B30" s="5" t="s">
        <v>70</v>
      </c>
      <c r="C30" s="13"/>
      <c r="D30" s="46"/>
      <c r="E30" s="27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6"/>
      <c r="AQ30" s="40"/>
      <c r="AR30" s="40"/>
    </row>
    <row r="31" spans="1:44" ht="41.25" customHeight="1">
      <c r="A31" s="6" t="s">
        <v>71</v>
      </c>
      <c r="B31" s="5" t="s">
        <v>72</v>
      </c>
      <c r="C31" s="13"/>
      <c r="D31" s="46"/>
      <c r="E31" s="27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6"/>
      <c r="AQ31" s="40"/>
      <c r="AR31" s="40"/>
    </row>
    <row r="32" spans="1:44" ht="25.5">
      <c r="A32" s="9">
        <v>3.7</v>
      </c>
      <c r="B32" s="5" t="s">
        <v>18</v>
      </c>
      <c r="C32" s="13" t="s">
        <v>57</v>
      </c>
      <c r="D32" s="46">
        <f>2345097/77549.72*1412.9</f>
        <v>42725.97697709289</v>
      </c>
      <c r="E32" s="27">
        <f>D32/H19/12</f>
        <v>2.5199929799875487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36"/>
      <c r="AQ32" s="40"/>
      <c r="AR32" s="40"/>
    </row>
    <row r="33" spans="1:44" ht="25.5">
      <c r="A33" s="6">
        <v>3.8</v>
      </c>
      <c r="B33" s="5" t="s">
        <v>64</v>
      </c>
      <c r="C33" s="13" t="s">
        <v>57</v>
      </c>
      <c r="D33" s="46">
        <f>651416/77549.72*1412.9</f>
        <v>11868.32997462789</v>
      </c>
      <c r="E33" s="27">
        <f>D33/H19/12</f>
        <v>0.6999982290931116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36"/>
      <c r="AQ33" s="40"/>
      <c r="AR33" s="40"/>
    </row>
    <row r="34" spans="1:44" ht="25.5">
      <c r="A34" s="9">
        <v>3.9</v>
      </c>
      <c r="B34" s="5" t="s">
        <v>19</v>
      </c>
      <c r="C34" s="13" t="s">
        <v>57</v>
      </c>
      <c r="D34" s="46">
        <f>697946/77549.72*1412.9</f>
        <v>12716.073035466794</v>
      </c>
      <c r="E34" s="27">
        <f>D34/H19/12</f>
        <v>0.7499984096224547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36"/>
      <c r="AQ34" s="40"/>
      <c r="AR34" s="40"/>
    </row>
    <row r="35" spans="1:44" ht="25.5">
      <c r="A35" s="6" t="s">
        <v>30</v>
      </c>
      <c r="B35" s="5" t="s">
        <v>65</v>
      </c>
      <c r="C35" s="13" t="s">
        <v>57</v>
      </c>
      <c r="D35" s="46"/>
      <c r="E35" s="27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36"/>
      <c r="AQ35" s="40"/>
      <c r="AR35" s="40"/>
    </row>
    <row r="36" spans="1:44" ht="25.5">
      <c r="A36" s="6" t="s">
        <v>31</v>
      </c>
      <c r="B36" s="5" t="s">
        <v>66</v>
      </c>
      <c r="C36" s="13"/>
      <c r="D36" s="46"/>
      <c r="E36" s="27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36"/>
      <c r="AQ36" s="40"/>
      <c r="AR36" s="40"/>
    </row>
    <row r="37" spans="1:44" ht="40.5" customHeight="1">
      <c r="A37" s="6" t="s">
        <v>32</v>
      </c>
      <c r="B37" s="5" t="s">
        <v>20</v>
      </c>
      <c r="C37" s="13"/>
      <c r="D37" s="46"/>
      <c r="E37" s="27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36"/>
      <c r="AQ37" s="40"/>
      <c r="AR37" s="40"/>
    </row>
    <row r="38" spans="1:44" ht="51">
      <c r="A38" s="6" t="s">
        <v>33</v>
      </c>
      <c r="B38" s="5" t="s">
        <v>21</v>
      </c>
      <c r="C38" s="13" t="s">
        <v>58</v>
      </c>
      <c r="D38" s="46">
        <f>2373015/77549.72*1412.9</f>
        <v>43234.62281359623</v>
      </c>
      <c r="E38" s="27">
        <f>D38/H19/12</f>
        <v>2.549993088305154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36"/>
      <c r="AQ38" s="40"/>
      <c r="AR38" s="40"/>
    </row>
    <row r="39" spans="1:44" ht="33" customHeight="1">
      <c r="A39" s="6" t="s">
        <v>34</v>
      </c>
      <c r="B39" s="5" t="s">
        <v>73</v>
      </c>
      <c r="C39" s="13"/>
      <c r="D39" s="46"/>
      <c r="E39" s="27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36"/>
      <c r="AQ39" s="40"/>
      <c r="AR39" s="40"/>
    </row>
    <row r="40" spans="1:44" ht="41.25" customHeight="1">
      <c r="A40" s="6" t="s">
        <v>35</v>
      </c>
      <c r="B40" s="5" t="s">
        <v>22</v>
      </c>
      <c r="C40" s="13"/>
      <c r="D40" s="46"/>
      <c r="E40" s="27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36"/>
      <c r="AQ40" s="40"/>
      <c r="AR40" s="40"/>
    </row>
    <row r="41" spans="1:44" ht="41.25" customHeight="1">
      <c r="A41" s="6" t="s">
        <v>36</v>
      </c>
      <c r="B41" s="5" t="s">
        <v>74</v>
      </c>
      <c r="C41" s="13"/>
      <c r="D41" s="46"/>
      <c r="E41" s="27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36"/>
      <c r="AQ41" s="40"/>
      <c r="AR41" s="40"/>
    </row>
    <row r="42" spans="1:44" ht="40.5" customHeight="1">
      <c r="A42" s="6" t="s">
        <v>37</v>
      </c>
      <c r="B42" s="5" t="s">
        <v>75</v>
      </c>
      <c r="C42" s="13" t="s">
        <v>54</v>
      </c>
      <c r="D42" s="47">
        <f>2696000/77549.72*1412.9</f>
        <v>49119.17670366831</v>
      </c>
      <c r="E42" s="27">
        <f>D42/H19/12</f>
        <v>2.8970661230842185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36"/>
      <c r="AQ42" s="40"/>
      <c r="AR42" s="40"/>
    </row>
    <row r="43" spans="1:44" ht="51">
      <c r="A43" s="6" t="s">
        <v>38</v>
      </c>
      <c r="B43" s="5" t="s">
        <v>67</v>
      </c>
      <c r="C43" s="13"/>
      <c r="D43" s="46"/>
      <c r="E43" s="27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36"/>
      <c r="AQ43" s="40"/>
      <c r="AR43" s="40"/>
    </row>
    <row r="44" spans="1:44" ht="40.5" customHeight="1">
      <c r="A44" s="6" t="s">
        <v>39</v>
      </c>
      <c r="B44" s="5" t="s">
        <v>76</v>
      </c>
      <c r="C44" s="13"/>
      <c r="D44" s="46"/>
      <c r="E44" s="27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36"/>
      <c r="AQ44" s="40"/>
      <c r="AR44" s="40"/>
    </row>
    <row r="45" spans="1:44" ht="39" customHeight="1">
      <c r="A45" s="6" t="s">
        <v>40</v>
      </c>
      <c r="B45" s="5" t="s">
        <v>77</v>
      </c>
      <c r="C45" s="13" t="s">
        <v>54</v>
      </c>
      <c r="D45" s="29">
        <f>1448000/77549.72*1412.9</f>
        <v>26381.516271109682</v>
      </c>
      <c r="E45" s="27">
        <f>D45/H19/12</f>
        <v>1.5559910037930074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36"/>
      <c r="AQ45" s="40"/>
      <c r="AR45" s="40"/>
    </row>
    <row r="46" spans="1:44" ht="39" customHeight="1">
      <c r="A46" s="6" t="s">
        <v>41</v>
      </c>
      <c r="B46" s="5" t="s">
        <v>78</v>
      </c>
      <c r="C46" s="13"/>
      <c r="D46" s="29"/>
      <c r="E46" s="27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36"/>
      <c r="AQ46" s="40"/>
      <c r="AR46" s="40"/>
    </row>
    <row r="47" spans="1:44" ht="25.5">
      <c r="A47" s="6" t="s">
        <v>42</v>
      </c>
      <c r="B47" s="5" t="s">
        <v>62</v>
      </c>
      <c r="C47" s="13" t="s">
        <v>54</v>
      </c>
      <c r="D47" s="46"/>
      <c r="E47" s="27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36"/>
      <c r="AQ47" s="40"/>
      <c r="AR47" s="40"/>
    </row>
    <row r="48" spans="1:44" ht="25.5">
      <c r="A48" s="6" t="s">
        <v>43</v>
      </c>
      <c r="B48" s="7" t="s">
        <v>63</v>
      </c>
      <c r="C48" s="13" t="s">
        <v>54</v>
      </c>
      <c r="D48" s="46">
        <f>13972201/77549.72*1412.9</f>
        <v>254563.43095629488</v>
      </c>
      <c r="E48" s="27">
        <f>D48/H19/12</f>
        <v>15.014239681759435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36"/>
      <c r="AQ48" s="40"/>
      <c r="AR48" s="40"/>
    </row>
    <row r="49" spans="1:44" ht="25.5">
      <c r="A49" s="6" t="s">
        <v>46</v>
      </c>
      <c r="B49" s="5" t="s">
        <v>23</v>
      </c>
      <c r="C49" s="13" t="s">
        <v>60</v>
      </c>
      <c r="D49" s="46">
        <f>465297/77549.72*1412.9</f>
        <v>8477.375950551466</v>
      </c>
      <c r="E49" s="27">
        <f>D49/H19/12</f>
        <v>0.49999858155516225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36"/>
      <c r="AQ49" s="40"/>
      <c r="AR49" s="40"/>
    </row>
    <row r="50" spans="1:44" ht="25.5">
      <c r="A50" s="6" t="s">
        <v>79</v>
      </c>
      <c r="B50" s="5" t="s">
        <v>24</v>
      </c>
      <c r="C50" s="13" t="s">
        <v>61</v>
      </c>
      <c r="D50" s="46">
        <f>5667319/77549.72*1412.9</f>
        <v>103254.46713540681</v>
      </c>
      <c r="E50" s="27">
        <f>D50/H19/12</f>
        <v>6.089984378194187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36"/>
      <c r="AQ50" s="40"/>
      <c r="AR50" s="40"/>
    </row>
    <row r="51" spans="1:44" ht="38.25">
      <c r="A51" s="6" t="s">
        <v>80</v>
      </c>
      <c r="B51" s="5" t="s">
        <v>25</v>
      </c>
      <c r="C51" s="17" t="s">
        <v>55</v>
      </c>
      <c r="D51" s="29">
        <f>2308000/77549.72*1412.9</f>
        <v>42050.09637687925</v>
      </c>
      <c r="E51" s="27">
        <f>D51/H19/12</f>
        <v>2.480129307150733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36"/>
      <c r="AQ51" s="40"/>
      <c r="AR51" s="40"/>
    </row>
    <row r="52" spans="1:44" ht="25.5">
      <c r="A52" s="6" t="s">
        <v>81</v>
      </c>
      <c r="B52" s="5" t="s">
        <v>26</v>
      </c>
      <c r="C52" s="13" t="s">
        <v>54</v>
      </c>
      <c r="D52" s="29">
        <f>9000/77549.72*1412.9</f>
        <v>163.97351273479777</v>
      </c>
      <c r="E52" s="27">
        <f>D52/H19/12</f>
        <v>0.009671214802580848</v>
      </c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36"/>
      <c r="AQ52" s="40"/>
      <c r="AR52" s="40"/>
    </row>
    <row r="53" spans="1:44" ht="38.25">
      <c r="A53" s="6" t="s">
        <v>82</v>
      </c>
      <c r="B53" s="5" t="s">
        <v>27</v>
      </c>
      <c r="C53" s="14" t="s">
        <v>54</v>
      </c>
      <c r="D53" s="29">
        <f>1414507/77549.72*1412.9</f>
        <v>25771.297953106732</v>
      </c>
      <c r="E53" s="27">
        <f>D53/H19/12</f>
        <v>1.5200001151949143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36"/>
      <c r="AQ53" s="40"/>
      <c r="AR53" s="40"/>
    </row>
    <row r="54" spans="1:44" ht="25.5">
      <c r="A54" s="6" t="s">
        <v>44</v>
      </c>
      <c r="B54" s="5" t="s">
        <v>28</v>
      </c>
      <c r="C54" s="15" t="s">
        <v>54</v>
      </c>
      <c r="D54" s="46"/>
      <c r="E54" s="27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36"/>
      <c r="AQ54" s="40"/>
      <c r="AR54" s="40"/>
    </row>
    <row r="55" spans="1:44" ht="38.25">
      <c r="A55" s="6" t="s">
        <v>48</v>
      </c>
      <c r="B55" s="5" t="s">
        <v>49</v>
      </c>
      <c r="C55" s="13" t="s">
        <v>52</v>
      </c>
      <c r="D55" s="46"/>
      <c r="E55" s="27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36"/>
      <c r="AQ55" s="40"/>
      <c r="AR55" s="40"/>
    </row>
    <row r="56" spans="1:44" ht="38.25">
      <c r="A56" s="6" t="s">
        <v>50</v>
      </c>
      <c r="B56" s="5" t="s">
        <v>51</v>
      </c>
      <c r="C56" s="13" t="s">
        <v>52</v>
      </c>
      <c r="D56" s="46"/>
      <c r="E56" s="27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36"/>
      <c r="AQ56" s="40"/>
      <c r="AR56" s="40"/>
    </row>
    <row r="57" spans="4:5" ht="15">
      <c r="D57" s="12"/>
      <c r="E57" s="22"/>
    </row>
    <row r="58" spans="4:5" ht="15">
      <c r="D58" s="12"/>
      <c r="E58" s="22"/>
    </row>
    <row r="59" spans="4:5" ht="15">
      <c r="D59" s="12"/>
      <c r="E59" s="22"/>
    </row>
    <row r="60" spans="4:5" ht="15">
      <c r="D60" s="12"/>
      <c r="E60" s="22"/>
    </row>
    <row r="61" spans="4:5" ht="15">
      <c r="D61" s="12"/>
      <c r="E61" s="22"/>
    </row>
    <row r="62" spans="4:5" ht="15">
      <c r="D62" s="12"/>
      <c r="E62" s="22"/>
    </row>
    <row r="63" spans="4:5" ht="15">
      <c r="D63" s="12"/>
      <c r="E63" s="22"/>
    </row>
    <row r="64" spans="4:5" ht="15">
      <c r="D64" s="12"/>
      <c r="E64" s="22"/>
    </row>
    <row r="65" spans="4:5" ht="15">
      <c r="D65" s="12"/>
      <c r="E65" s="22"/>
    </row>
    <row r="66" spans="4:5" ht="15">
      <c r="D66" s="12"/>
      <c r="E66" s="22"/>
    </row>
    <row r="67" spans="4:5" ht="15">
      <c r="D67" s="12"/>
      <c r="E67" s="22"/>
    </row>
    <row r="68" spans="4:5" ht="15">
      <c r="D68" s="12"/>
      <c r="E68" s="22"/>
    </row>
    <row r="69" spans="4:5" ht="15">
      <c r="D69" s="12"/>
      <c r="E69" s="22"/>
    </row>
    <row r="70" spans="4:5" ht="15">
      <c r="D70" s="12"/>
      <c r="E70" s="22"/>
    </row>
    <row r="71" spans="4:5" ht="15">
      <c r="D71" s="12"/>
      <c r="E71" s="22"/>
    </row>
    <row r="72" spans="4:5" ht="15">
      <c r="D72" s="12"/>
      <c r="E72" s="22"/>
    </row>
    <row r="73" spans="4:5" ht="15">
      <c r="D73" s="12"/>
      <c r="E73" s="22"/>
    </row>
    <row r="74" spans="4:5" ht="15">
      <c r="D74" s="12"/>
      <c r="E74" s="22"/>
    </row>
    <row r="75" spans="4:5" ht="15">
      <c r="D75" s="12"/>
      <c r="E75" s="22"/>
    </row>
    <row r="76" spans="4:5" ht="15">
      <c r="D76" s="12"/>
      <c r="E76" s="22"/>
    </row>
    <row r="77" spans="4:5" ht="15">
      <c r="D77" s="12"/>
      <c r="E77" s="22"/>
    </row>
    <row r="78" spans="4:5" ht="15">
      <c r="D78" s="12"/>
      <c r="E78" s="22"/>
    </row>
    <row r="79" spans="4:5" ht="15">
      <c r="D79" s="12"/>
      <c r="E79" s="22"/>
    </row>
    <row r="80" spans="4:5" ht="15">
      <c r="D80" s="12"/>
      <c r="E80" s="22"/>
    </row>
    <row r="81" spans="4:5" ht="15">
      <c r="D81" s="12"/>
      <c r="E81" s="22"/>
    </row>
    <row r="82" spans="4:5" ht="15">
      <c r="D82" s="12"/>
      <c r="E82" s="22"/>
    </row>
    <row r="83" spans="4:5" ht="15">
      <c r="D83" s="12"/>
      <c r="E83" s="22"/>
    </row>
    <row r="84" spans="4:5" ht="15">
      <c r="D84" s="12"/>
      <c r="E84" s="22"/>
    </row>
    <row r="85" spans="4:5" ht="15">
      <c r="D85" s="12"/>
      <c r="E85" s="22"/>
    </row>
    <row r="86" spans="4:5" ht="15">
      <c r="D86" s="12"/>
      <c r="E86" s="22"/>
    </row>
    <row r="87" spans="4:5" ht="15">
      <c r="D87" s="12"/>
      <c r="E87" s="22"/>
    </row>
    <row r="88" spans="4:5" ht="15">
      <c r="D88" s="12"/>
      <c r="E88" s="22"/>
    </row>
    <row r="89" spans="4:5" ht="15">
      <c r="D89" s="12"/>
      <c r="E89" s="22"/>
    </row>
    <row r="90" spans="4:5" ht="15">
      <c r="D90" s="12"/>
      <c r="E90" s="22"/>
    </row>
    <row r="91" spans="4:5" ht="15">
      <c r="D91" s="12"/>
      <c r="E91" s="22"/>
    </row>
    <row r="92" spans="4:5" ht="15">
      <c r="D92" s="12"/>
      <c r="E92" s="22"/>
    </row>
    <row r="93" spans="4:5" ht="15">
      <c r="D93" s="12"/>
      <c r="E93" s="22"/>
    </row>
    <row r="94" spans="4:5" ht="15">
      <c r="D94" s="12"/>
      <c r="E94" s="22"/>
    </row>
    <row r="95" spans="4:5" ht="15">
      <c r="D95" s="12"/>
      <c r="E95" s="22"/>
    </row>
    <row r="96" spans="4:5" ht="15">
      <c r="D96" s="12"/>
      <c r="E96" s="22"/>
    </row>
    <row r="97" spans="4:5" ht="15">
      <c r="D97" s="12"/>
      <c r="E97" s="22"/>
    </row>
    <row r="98" spans="4:5" ht="15">
      <c r="D98" s="12"/>
      <c r="E98" s="22"/>
    </row>
    <row r="99" spans="4:5" ht="15">
      <c r="D99" s="12"/>
      <c r="E99" s="22"/>
    </row>
    <row r="100" spans="4:5" ht="15">
      <c r="D100" s="12"/>
      <c r="E100" s="22"/>
    </row>
    <row r="101" spans="4:5" ht="15">
      <c r="D101" s="12"/>
      <c r="E101" s="22"/>
    </row>
    <row r="102" spans="4:5" ht="15">
      <c r="D102" s="12"/>
      <c r="E102" s="22"/>
    </row>
    <row r="103" spans="4:5" ht="15">
      <c r="D103" s="12"/>
      <c r="E103" s="22"/>
    </row>
    <row r="104" spans="4:5" ht="15">
      <c r="D104" s="12"/>
      <c r="E104" s="22"/>
    </row>
    <row r="105" spans="4:5" ht="15">
      <c r="D105" s="12"/>
      <c r="E105" s="22"/>
    </row>
    <row r="106" spans="4:5" ht="15">
      <c r="D106" s="12"/>
      <c r="E106" s="22"/>
    </row>
    <row r="107" spans="4:5" ht="15">
      <c r="D107" s="12"/>
      <c r="E107" s="22"/>
    </row>
    <row r="108" spans="4:5" ht="15">
      <c r="D108" s="12"/>
      <c r="E108" s="22"/>
    </row>
    <row r="109" spans="4:5" ht="15">
      <c r="D109" s="12"/>
      <c r="E109" s="22"/>
    </row>
    <row r="110" spans="4:5" ht="15">
      <c r="D110" s="12"/>
      <c r="E110" s="22"/>
    </row>
    <row r="111" spans="4:5" ht="15">
      <c r="D111" s="12"/>
      <c r="E111" s="22"/>
    </row>
    <row r="112" spans="4:5" ht="15">
      <c r="D112" s="12"/>
      <c r="E112" s="22"/>
    </row>
    <row r="113" spans="4:5" ht="15">
      <c r="D113" s="12"/>
      <c r="E113" s="22"/>
    </row>
    <row r="114" spans="4:5" ht="15">
      <c r="D114" s="12"/>
      <c r="E114" s="22"/>
    </row>
    <row r="115" spans="4:5" ht="15">
      <c r="D115" s="12"/>
      <c r="E115" s="22"/>
    </row>
    <row r="116" spans="4:5" ht="15">
      <c r="D116" s="12"/>
      <c r="E116" s="22"/>
    </row>
    <row r="117" spans="4:5" ht="15">
      <c r="D117" s="12"/>
      <c r="E117" s="22"/>
    </row>
    <row r="118" spans="4:5" ht="15">
      <c r="D118" s="12"/>
      <c r="E118" s="22"/>
    </row>
    <row r="119" spans="4:5" ht="15">
      <c r="D119" s="12"/>
      <c r="E119" s="22"/>
    </row>
    <row r="120" spans="4:5" ht="15">
      <c r="D120" s="12"/>
      <c r="E120" s="22"/>
    </row>
    <row r="121" spans="4:5" ht="15">
      <c r="D121" s="12"/>
      <c r="E121" s="22"/>
    </row>
    <row r="122" spans="4:5" ht="15">
      <c r="D122" s="12"/>
      <c r="E122" s="22"/>
    </row>
    <row r="123" spans="4:5" ht="15">
      <c r="D123" s="12"/>
      <c r="E123" s="22"/>
    </row>
    <row r="124" spans="4:5" ht="15">
      <c r="D124" s="12"/>
      <c r="E124" s="22"/>
    </row>
    <row r="125" spans="4:5" ht="15">
      <c r="D125" s="12"/>
      <c r="E125" s="22"/>
    </row>
    <row r="126" spans="4:5" ht="15">
      <c r="D126" s="12"/>
      <c r="E126" s="22"/>
    </row>
    <row r="127" spans="4:5" ht="15">
      <c r="D127" s="12"/>
      <c r="E127" s="22"/>
    </row>
    <row r="128" spans="4:5" ht="15">
      <c r="D128" s="12"/>
      <c r="E128" s="22"/>
    </row>
    <row r="129" spans="4:5" ht="15">
      <c r="D129" s="12"/>
      <c r="E129" s="22"/>
    </row>
    <row r="130" spans="4:5" ht="15">
      <c r="D130" s="12"/>
      <c r="E130" s="22"/>
    </row>
  </sheetData>
  <sheetProtection/>
  <mergeCells count="16">
    <mergeCell ref="A14:F14"/>
    <mergeCell ref="A15:F15"/>
    <mergeCell ref="A21:A22"/>
    <mergeCell ref="B21:B22"/>
    <mergeCell ref="D21:D22"/>
    <mergeCell ref="E21:E22"/>
    <mergeCell ref="A16:F16"/>
    <mergeCell ref="A17:F17"/>
    <mergeCell ref="A8:B8"/>
    <mergeCell ref="E8:F8"/>
    <mergeCell ref="A9:B9"/>
    <mergeCell ref="D9:F9"/>
    <mergeCell ref="A10:B10"/>
    <mergeCell ref="D10:F10"/>
    <mergeCell ref="A11:B11"/>
    <mergeCell ref="A12:B12"/>
  </mergeCells>
  <printOptions/>
  <pageMargins left="1.1811023622047245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130"/>
  <sheetViews>
    <sheetView zoomScalePageLayoutView="0" workbookViewId="0" topLeftCell="A9">
      <selection activeCell="A12" sqref="A12:B12"/>
    </sheetView>
  </sheetViews>
  <sheetFormatPr defaultColWidth="9.140625" defaultRowHeight="15"/>
  <cols>
    <col min="1" max="1" width="5.8515625" style="4" customWidth="1"/>
    <col min="2" max="2" width="38.00390625" style="4" customWidth="1"/>
    <col min="3" max="3" width="17.7109375" style="4" hidden="1" customWidth="1"/>
    <col min="4" max="4" width="14.28125" style="4" customWidth="1"/>
    <col min="5" max="5" width="13.7109375" style="19" customWidth="1"/>
    <col min="6" max="6" width="10.140625" style="30" customWidth="1"/>
    <col min="7" max="7" width="10.57421875" style="31" customWidth="1"/>
    <col min="8" max="8" width="10.421875" style="31" customWidth="1"/>
    <col min="9" max="9" width="10.00390625" style="31" customWidth="1"/>
    <col min="10" max="10" width="9.8515625" style="31" customWidth="1"/>
    <col min="11" max="11" width="9.28125" style="31" customWidth="1"/>
    <col min="12" max="14" width="9.8515625" style="31" customWidth="1"/>
    <col min="15" max="23" width="9.8515625" style="31" hidden="1" customWidth="1"/>
    <col min="24" max="39" width="9.8515625" style="31" customWidth="1"/>
    <col min="40" max="40" width="11.421875" style="31" customWidth="1"/>
    <col min="41" max="41" width="11.00390625" style="31" customWidth="1"/>
    <col min="42" max="42" width="11.140625" style="31" customWidth="1"/>
    <col min="43" max="44" width="9.140625" style="31" customWidth="1"/>
    <col min="45" max="16384" width="9.140625" style="4" customWidth="1"/>
  </cols>
  <sheetData>
    <row r="1" spans="1:5" ht="15.75" hidden="1">
      <c r="A1" s="1" t="s">
        <v>0</v>
      </c>
      <c r="E1" s="18" t="s">
        <v>9</v>
      </c>
    </row>
    <row r="2" spans="1:5" ht="15.75" hidden="1">
      <c r="A2" s="1" t="s">
        <v>1</v>
      </c>
      <c r="E2" s="18" t="s">
        <v>11</v>
      </c>
    </row>
    <row r="3" spans="1:5" ht="15.75" hidden="1">
      <c r="A3" s="1" t="s">
        <v>2</v>
      </c>
      <c r="E3" s="18" t="s">
        <v>10</v>
      </c>
    </row>
    <row r="4" ht="15.75" hidden="1">
      <c r="A4" s="1" t="s">
        <v>3</v>
      </c>
    </row>
    <row r="5" ht="15" hidden="1"/>
    <row r="6" spans="1:5" ht="112.5" hidden="1">
      <c r="A6" s="2" t="s">
        <v>12</v>
      </c>
      <c r="B6" s="3"/>
      <c r="C6" s="3"/>
      <c r="D6" s="3"/>
      <c r="E6" s="20"/>
    </row>
    <row r="7" spans="1:5" ht="15" hidden="1">
      <c r="A7" s="3" t="s">
        <v>53</v>
      </c>
      <c r="B7" s="3"/>
      <c r="C7" s="3"/>
      <c r="D7" s="3"/>
      <c r="E7" s="21"/>
    </row>
    <row r="8" spans="1:6" ht="15.75" customHeight="1">
      <c r="A8" s="60" t="s">
        <v>0</v>
      </c>
      <c r="B8" s="61"/>
      <c r="C8" s="52"/>
      <c r="D8" s="53"/>
      <c r="E8" s="62" t="s">
        <v>9</v>
      </c>
      <c r="F8" s="63"/>
    </row>
    <row r="9" spans="1:6" ht="15">
      <c r="A9" s="61" t="s">
        <v>83</v>
      </c>
      <c r="B9" s="61"/>
      <c r="C9" s="52"/>
      <c r="D9" s="64" t="s">
        <v>114</v>
      </c>
      <c r="E9" s="63"/>
      <c r="F9" s="63"/>
    </row>
    <row r="10" spans="1:6" ht="15">
      <c r="A10" s="61" t="s">
        <v>84</v>
      </c>
      <c r="B10" s="61"/>
      <c r="C10" s="52"/>
      <c r="D10" s="64" t="s">
        <v>118</v>
      </c>
      <c r="E10" s="63"/>
      <c r="F10" s="63"/>
    </row>
    <row r="11" spans="1:5" ht="15">
      <c r="A11" s="61" t="s">
        <v>2</v>
      </c>
      <c r="B11" s="61"/>
      <c r="C11" s="52"/>
      <c r="D11" s="52"/>
      <c r="E11" s="21"/>
    </row>
    <row r="12" spans="1:5" ht="15" customHeight="1">
      <c r="A12" s="61" t="s">
        <v>128</v>
      </c>
      <c r="B12" s="61"/>
      <c r="C12" s="52"/>
      <c r="D12" s="52"/>
      <c r="E12" s="21"/>
    </row>
    <row r="13" spans="1:5" ht="15">
      <c r="A13" s="54"/>
      <c r="B13" s="54"/>
      <c r="C13" s="52"/>
      <c r="D13" s="52"/>
      <c r="E13" s="21"/>
    </row>
    <row r="14" spans="1:6" ht="15.75">
      <c r="A14" s="67" t="s">
        <v>86</v>
      </c>
      <c r="B14" s="67"/>
      <c r="C14" s="67"/>
      <c r="D14" s="67"/>
      <c r="E14" s="67"/>
      <c r="F14" s="67"/>
    </row>
    <row r="15" spans="1:6" ht="15.75">
      <c r="A15" s="67" t="s">
        <v>87</v>
      </c>
      <c r="B15" s="67"/>
      <c r="C15" s="67"/>
      <c r="D15" s="67"/>
      <c r="E15" s="67"/>
      <c r="F15" s="67"/>
    </row>
    <row r="16" spans="1:6" ht="15.75">
      <c r="A16" s="67" t="s">
        <v>88</v>
      </c>
      <c r="B16" s="67"/>
      <c r="C16" s="67"/>
      <c r="D16" s="67"/>
      <c r="E16" s="67"/>
      <c r="F16" s="67"/>
    </row>
    <row r="17" spans="1:6" ht="15">
      <c r="A17" s="80" t="s">
        <v>106</v>
      </c>
      <c r="B17" s="81"/>
      <c r="C17" s="81"/>
      <c r="D17" s="81"/>
      <c r="E17" s="81"/>
      <c r="F17" s="81"/>
    </row>
    <row r="18" spans="1:5" ht="15">
      <c r="A18" s="3"/>
      <c r="B18" s="3"/>
      <c r="C18" s="3"/>
      <c r="D18" s="3"/>
      <c r="E18" s="55"/>
    </row>
    <row r="19" spans="1:9" ht="28.5">
      <c r="A19" s="10" t="s">
        <v>47</v>
      </c>
      <c r="B19" s="3"/>
      <c r="C19" s="3"/>
      <c r="D19" s="3"/>
      <c r="E19" s="48"/>
      <c r="H19" s="51">
        <v>1415.84</v>
      </c>
      <c r="I19" s="31">
        <v>77549.72</v>
      </c>
    </row>
    <row r="20" ht="15">
      <c r="D20" s="16"/>
    </row>
    <row r="21" spans="1:42" ht="42" customHeight="1">
      <c r="A21" s="74" t="s">
        <v>8</v>
      </c>
      <c r="B21" s="74" t="s">
        <v>4</v>
      </c>
      <c r="C21" s="28" t="s">
        <v>5</v>
      </c>
      <c r="D21" s="75" t="s">
        <v>6</v>
      </c>
      <c r="E21" s="77" t="s">
        <v>7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3"/>
    </row>
    <row r="22" spans="1:42" ht="14.25" customHeight="1">
      <c r="A22" s="74"/>
      <c r="B22" s="74"/>
      <c r="C22" s="28"/>
      <c r="D22" s="76"/>
      <c r="E22" s="77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6"/>
    </row>
    <row r="23" spans="1:44" s="11" customFormat="1" ht="51">
      <c r="A23" s="23">
        <v>1</v>
      </c>
      <c r="B23" s="24" t="s">
        <v>13</v>
      </c>
      <c r="C23" s="25"/>
      <c r="D23" s="44">
        <f>D24+D25+D54+D55</f>
        <v>665755.1466759646</v>
      </c>
      <c r="E23" s="50">
        <f>E24+E25+E54+E55</f>
        <v>39.18493301243812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6"/>
      <c r="AQ23" s="38"/>
      <c r="AR23" s="38"/>
    </row>
    <row r="24" spans="1:44" ht="51.75" customHeight="1">
      <c r="A24" s="8">
        <v>2</v>
      </c>
      <c r="B24" s="5" t="s">
        <v>45</v>
      </c>
      <c r="C24" s="13" t="s">
        <v>54</v>
      </c>
      <c r="D24" s="45">
        <f>1905742/77549.72*1415.84</f>
        <v>34793.49446110186</v>
      </c>
      <c r="E24" s="26">
        <f>D24/H19/12</f>
        <v>2.0478711378111147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6"/>
      <c r="AQ24" s="40"/>
      <c r="AR24" s="40"/>
    </row>
    <row r="25" spans="1:44" ht="25.5">
      <c r="A25" s="8">
        <v>3</v>
      </c>
      <c r="B25" s="5" t="s">
        <v>29</v>
      </c>
      <c r="C25" s="13"/>
      <c r="D25" s="45">
        <f>D26+D27+D28+D29+D30+D31+D32+D33+D34+D35+D36+D37+D38+D39+D40+D41+D42+D43+D44+D45+D46+D47+D48+D49+D50+D51+D52+D53+D54+D55+D56</f>
        <v>630961.6522148628</v>
      </c>
      <c r="E25" s="26">
        <f>SUM(E26:E56)</f>
        <v>37.13706187462701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0"/>
      <c r="AR25" s="40"/>
    </row>
    <row r="26" spans="1:44" ht="25.5">
      <c r="A26" s="9">
        <v>3.1</v>
      </c>
      <c r="B26" s="5" t="s">
        <v>14</v>
      </c>
      <c r="C26" s="13"/>
      <c r="D26" s="46"/>
      <c r="E26" s="27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6"/>
      <c r="AQ26" s="40"/>
      <c r="AR26" s="40"/>
    </row>
    <row r="27" spans="1:44" ht="24">
      <c r="A27" s="6">
        <v>3.2</v>
      </c>
      <c r="B27" s="5" t="s">
        <v>15</v>
      </c>
      <c r="C27" s="13" t="s">
        <v>57</v>
      </c>
      <c r="D27" s="46">
        <f>353626/77549.72*1415.84</f>
        <v>6456.217196399934</v>
      </c>
      <c r="E27" s="27">
        <f>D27/H19/12</f>
        <v>0.3799992228641616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36"/>
      <c r="AQ27" s="40"/>
      <c r="AR27" s="40"/>
    </row>
    <row r="28" spans="1:44" ht="25.5">
      <c r="A28" s="9">
        <v>3.3</v>
      </c>
      <c r="B28" s="5" t="s">
        <v>16</v>
      </c>
      <c r="C28" s="13" t="s">
        <v>59</v>
      </c>
      <c r="D28" s="46">
        <f>158201/77549.72*1415.84</f>
        <v>2888.3057713167755</v>
      </c>
      <c r="E28" s="27">
        <f>D28/H19/12</f>
        <v>0.1699995392203436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36"/>
      <c r="AQ28" s="40"/>
      <c r="AR28" s="40"/>
    </row>
    <row r="29" spans="1:44" ht="34.5" customHeight="1">
      <c r="A29" s="6" t="s">
        <v>68</v>
      </c>
      <c r="B29" s="5" t="s">
        <v>17</v>
      </c>
      <c r="C29" s="13" t="s">
        <v>56</v>
      </c>
      <c r="D29" s="46"/>
      <c r="E29" s="27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6"/>
      <c r="AQ29" s="40"/>
      <c r="AR29" s="40"/>
    </row>
    <row r="30" spans="1:44" ht="34.5" customHeight="1">
      <c r="A30" s="6" t="s">
        <v>69</v>
      </c>
      <c r="B30" s="5" t="s">
        <v>70</v>
      </c>
      <c r="C30" s="13"/>
      <c r="D30" s="46"/>
      <c r="E30" s="27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6"/>
      <c r="AQ30" s="40"/>
      <c r="AR30" s="40"/>
    </row>
    <row r="31" spans="1:44" ht="41.25" customHeight="1">
      <c r="A31" s="6" t="s">
        <v>71</v>
      </c>
      <c r="B31" s="5" t="s">
        <v>72</v>
      </c>
      <c r="C31" s="13"/>
      <c r="D31" s="46"/>
      <c r="E31" s="27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6"/>
      <c r="AQ31" s="40"/>
      <c r="AR31" s="40"/>
    </row>
    <row r="32" spans="1:44" ht="25.5">
      <c r="A32" s="9">
        <v>3.7</v>
      </c>
      <c r="B32" s="5" t="s">
        <v>18</v>
      </c>
      <c r="C32" s="13" t="s">
        <v>57</v>
      </c>
      <c r="D32" s="46">
        <f>2345097/77549.72*1415.84</f>
        <v>42814.882329426844</v>
      </c>
      <c r="E32" s="27">
        <f>D32/H19/12</f>
        <v>2.5199929799875487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36"/>
      <c r="AQ32" s="40"/>
      <c r="AR32" s="40"/>
    </row>
    <row r="33" spans="1:44" ht="25.5">
      <c r="A33" s="6">
        <v>3.8</v>
      </c>
      <c r="B33" s="5" t="s">
        <v>64</v>
      </c>
      <c r="C33" s="13" t="s">
        <v>57</v>
      </c>
      <c r="D33" s="46">
        <f>651416/77549.72*1415.84</f>
        <v>11893.025912150293</v>
      </c>
      <c r="E33" s="27">
        <f>D33/H19/12</f>
        <v>0.6999982290931116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36"/>
      <c r="AQ33" s="40"/>
      <c r="AR33" s="40"/>
    </row>
    <row r="34" spans="1:44" ht="25.5">
      <c r="A34" s="9">
        <v>3.9</v>
      </c>
      <c r="B34" s="5" t="s">
        <v>19</v>
      </c>
      <c r="C34" s="13" t="s">
        <v>57</v>
      </c>
      <c r="D34" s="46">
        <f>697946/77549.72*1415.84</f>
        <v>12742.532979358273</v>
      </c>
      <c r="E34" s="27">
        <f>D34/H19/12</f>
        <v>0.7499984096224547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36"/>
      <c r="AQ34" s="40"/>
      <c r="AR34" s="40"/>
    </row>
    <row r="35" spans="1:44" ht="25.5">
      <c r="A35" s="6" t="s">
        <v>30</v>
      </c>
      <c r="B35" s="5" t="s">
        <v>65</v>
      </c>
      <c r="C35" s="13" t="s">
        <v>57</v>
      </c>
      <c r="D35" s="46"/>
      <c r="E35" s="27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36"/>
      <c r="AQ35" s="40"/>
      <c r="AR35" s="40"/>
    </row>
    <row r="36" spans="1:44" ht="25.5">
      <c r="A36" s="6" t="s">
        <v>31</v>
      </c>
      <c r="B36" s="5" t="s">
        <v>66</v>
      </c>
      <c r="C36" s="13"/>
      <c r="D36" s="46"/>
      <c r="E36" s="27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36"/>
      <c r="AQ36" s="40"/>
      <c r="AR36" s="40"/>
    </row>
    <row r="37" spans="1:44" ht="40.5" customHeight="1">
      <c r="A37" s="6" t="s">
        <v>32</v>
      </c>
      <c r="B37" s="5" t="s">
        <v>20</v>
      </c>
      <c r="C37" s="13"/>
      <c r="D37" s="46"/>
      <c r="E37" s="27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36"/>
      <c r="AQ37" s="40"/>
      <c r="AR37" s="40"/>
    </row>
    <row r="38" spans="1:44" ht="51">
      <c r="A38" s="6" t="s">
        <v>33</v>
      </c>
      <c r="B38" s="5" t="s">
        <v>21</v>
      </c>
      <c r="C38" s="13" t="s">
        <v>58</v>
      </c>
      <c r="D38" s="46">
        <f>2373015/77549.72*1415.84</f>
        <v>43324.586569751635</v>
      </c>
      <c r="E38" s="27">
        <f>D38/H19/12</f>
        <v>2.5499930883051545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36"/>
      <c r="AQ38" s="40"/>
      <c r="AR38" s="40"/>
    </row>
    <row r="39" spans="1:44" ht="33" customHeight="1">
      <c r="A39" s="6" t="s">
        <v>34</v>
      </c>
      <c r="B39" s="5" t="s">
        <v>73</v>
      </c>
      <c r="C39" s="13"/>
      <c r="D39" s="46"/>
      <c r="E39" s="27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36"/>
      <c r="AQ39" s="40"/>
      <c r="AR39" s="40"/>
    </row>
    <row r="40" spans="1:44" ht="41.25" customHeight="1">
      <c r="A40" s="6" t="s">
        <v>35</v>
      </c>
      <c r="B40" s="5" t="s">
        <v>22</v>
      </c>
      <c r="C40" s="13"/>
      <c r="D40" s="46"/>
      <c r="E40" s="27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36"/>
      <c r="AQ40" s="40"/>
      <c r="AR40" s="40"/>
    </row>
    <row r="41" spans="1:44" ht="41.25" customHeight="1">
      <c r="A41" s="6" t="s">
        <v>36</v>
      </c>
      <c r="B41" s="5" t="s">
        <v>74</v>
      </c>
      <c r="C41" s="13"/>
      <c r="D41" s="46"/>
      <c r="E41" s="27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36"/>
      <c r="AQ41" s="40"/>
      <c r="AR41" s="40"/>
    </row>
    <row r="42" spans="1:44" ht="40.5" customHeight="1">
      <c r="A42" s="6" t="s">
        <v>37</v>
      </c>
      <c r="B42" s="5" t="s">
        <v>75</v>
      </c>
      <c r="C42" s="13" t="s">
        <v>54</v>
      </c>
      <c r="D42" s="47">
        <f>2696000/77549.72*1415.84</f>
        <v>49221.385196490715</v>
      </c>
      <c r="E42" s="27">
        <f>D42/H19/12</f>
        <v>2.8970661230842185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36"/>
      <c r="AQ42" s="40"/>
      <c r="AR42" s="40"/>
    </row>
    <row r="43" spans="1:44" ht="51">
      <c r="A43" s="6" t="s">
        <v>38</v>
      </c>
      <c r="B43" s="5" t="s">
        <v>67</v>
      </c>
      <c r="C43" s="13"/>
      <c r="D43" s="46"/>
      <c r="E43" s="27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36"/>
      <c r="AQ43" s="40"/>
      <c r="AR43" s="40"/>
    </row>
    <row r="44" spans="1:44" ht="40.5" customHeight="1">
      <c r="A44" s="6" t="s">
        <v>39</v>
      </c>
      <c r="B44" s="5" t="s">
        <v>76</v>
      </c>
      <c r="C44" s="13"/>
      <c r="D44" s="46"/>
      <c r="E44" s="27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36"/>
      <c r="AQ44" s="40"/>
      <c r="AR44" s="40"/>
    </row>
    <row r="45" spans="1:44" ht="39" customHeight="1">
      <c r="A45" s="6" t="s">
        <v>40</v>
      </c>
      <c r="B45" s="5" t="s">
        <v>77</v>
      </c>
      <c r="C45" s="13" t="s">
        <v>54</v>
      </c>
      <c r="D45" s="29">
        <f>1448000/77549.72*1415.84</f>
        <v>26436.411633723495</v>
      </c>
      <c r="E45" s="27">
        <f>D45/H19/12</f>
        <v>1.5559910037930074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36"/>
      <c r="AQ45" s="40"/>
      <c r="AR45" s="40"/>
    </row>
    <row r="46" spans="1:44" ht="39" customHeight="1">
      <c r="A46" s="6" t="s">
        <v>41</v>
      </c>
      <c r="B46" s="5" t="s">
        <v>78</v>
      </c>
      <c r="C46" s="13"/>
      <c r="D46" s="29"/>
      <c r="E46" s="27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36"/>
      <c r="AQ46" s="40"/>
      <c r="AR46" s="40"/>
    </row>
    <row r="47" spans="1:44" ht="25.5">
      <c r="A47" s="6" t="s">
        <v>42</v>
      </c>
      <c r="B47" s="5" t="s">
        <v>62</v>
      </c>
      <c r="C47" s="13" t="s">
        <v>54</v>
      </c>
      <c r="D47" s="46"/>
      <c r="E47" s="27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36"/>
      <c r="AQ47" s="40"/>
      <c r="AR47" s="40"/>
    </row>
    <row r="48" spans="1:44" ht="25.5">
      <c r="A48" s="6" t="s">
        <v>43</v>
      </c>
      <c r="B48" s="7" t="s">
        <v>63</v>
      </c>
      <c r="C48" s="13" t="s">
        <v>54</v>
      </c>
      <c r="D48" s="46">
        <f>13972201/77549.72*1415.84</f>
        <v>255093.13333226732</v>
      </c>
      <c r="E48" s="27">
        <f>D48/H19/12</f>
        <v>15.014239681759435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36"/>
      <c r="AQ48" s="40"/>
      <c r="AR48" s="40"/>
    </row>
    <row r="49" spans="1:44" ht="25.5">
      <c r="A49" s="6" t="s">
        <v>46</v>
      </c>
      <c r="B49" s="5" t="s">
        <v>23</v>
      </c>
      <c r="C49" s="13" t="s">
        <v>60</v>
      </c>
      <c r="D49" s="46">
        <f>465297/77549.72*1415.84</f>
        <v>8495.015900508732</v>
      </c>
      <c r="E49" s="27">
        <f>D49/H19/12</f>
        <v>0.49999858155516236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36"/>
      <c r="AQ49" s="40"/>
      <c r="AR49" s="40"/>
    </row>
    <row r="50" spans="1:44" ht="25.5">
      <c r="A50" s="6" t="s">
        <v>79</v>
      </c>
      <c r="B50" s="5" t="s">
        <v>24</v>
      </c>
      <c r="C50" s="13" t="s">
        <v>61</v>
      </c>
      <c r="D50" s="46">
        <f>5667319/77549.72*1415.84</f>
        <v>103469.32178426949</v>
      </c>
      <c r="E50" s="27">
        <f>D50/H19/12</f>
        <v>6.089984378194187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36"/>
      <c r="AQ50" s="40"/>
      <c r="AR50" s="40"/>
    </row>
    <row r="51" spans="1:44" ht="38.25">
      <c r="A51" s="6" t="s">
        <v>80</v>
      </c>
      <c r="B51" s="5" t="s">
        <v>25</v>
      </c>
      <c r="C51" s="17" t="s">
        <v>55</v>
      </c>
      <c r="D51" s="29">
        <f>2308000/77549.72*1415.84</f>
        <v>42137.59533883552</v>
      </c>
      <c r="E51" s="27">
        <f>D51/H19/12</f>
        <v>2.4801293071507327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36"/>
      <c r="AQ51" s="40"/>
      <c r="AR51" s="40"/>
    </row>
    <row r="52" spans="1:44" ht="25.5">
      <c r="A52" s="6" t="s">
        <v>81</v>
      </c>
      <c r="B52" s="5" t="s">
        <v>26</v>
      </c>
      <c r="C52" s="13" t="s">
        <v>54</v>
      </c>
      <c r="D52" s="29">
        <f>9000/77549.72*1415.84</f>
        <v>164.3147131930328</v>
      </c>
      <c r="E52" s="27">
        <f>D52/H19/12</f>
        <v>0.009671214802580846</v>
      </c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36"/>
      <c r="AQ52" s="40"/>
      <c r="AR52" s="40"/>
    </row>
    <row r="53" spans="1:44" ht="38.25">
      <c r="A53" s="6" t="s">
        <v>82</v>
      </c>
      <c r="B53" s="5" t="s">
        <v>27</v>
      </c>
      <c r="C53" s="14" t="s">
        <v>54</v>
      </c>
      <c r="D53" s="29">
        <f>1414507/77549.72*1415.84</f>
        <v>25824.923557170805</v>
      </c>
      <c r="E53" s="27">
        <f>D53/H19/12</f>
        <v>1.5200001151949143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36"/>
      <c r="AQ53" s="40"/>
      <c r="AR53" s="40"/>
    </row>
    <row r="54" spans="1:44" ht="25.5">
      <c r="A54" s="6" t="s">
        <v>44</v>
      </c>
      <c r="B54" s="5" t="s">
        <v>28</v>
      </c>
      <c r="C54" s="15" t="s">
        <v>54</v>
      </c>
      <c r="D54" s="46"/>
      <c r="E54" s="27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36"/>
      <c r="AQ54" s="40"/>
      <c r="AR54" s="40"/>
    </row>
    <row r="55" spans="1:44" ht="38.25">
      <c r="A55" s="6" t="s">
        <v>48</v>
      </c>
      <c r="B55" s="5" t="s">
        <v>49</v>
      </c>
      <c r="C55" s="13" t="s">
        <v>52</v>
      </c>
      <c r="D55" s="46"/>
      <c r="E55" s="27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36"/>
      <c r="AQ55" s="40"/>
      <c r="AR55" s="40"/>
    </row>
    <row r="56" spans="1:44" ht="38.25">
      <c r="A56" s="6" t="s">
        <v>50</v>
      </c>
      <c r="B56" s="5" t="s">
        <v>51</v>
      </c>
      <c r="C56" s="13" t="s">
        <v>52</v>
      </c>
      <c r="D56" s="46"/>
      <c r="E56" s="27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36"/>
      <c r="AQ56" s="40"/>
      <c r="AR56" s="40"/>
    </row>
    <row r="57" spans="4:5" ht="15">
      <c r="D57" s="12"/>
      <c r="E57" s="22"/>
    </row>
    <row r="58" spans="4:5" ht="15">
      <c r="D58" s="12"/>
      <c r="E58" s="22"/>
    </row>
    <row r="59" spans="4:5" ht="15">
      <c r="D59" s="12"/>
      <c r="E59" s="22"/>
    </row>
    <row r="60" spans="4:5" ht="15">
      <c r="D60" s="12"/>
      <c r="E60" s="22"/>
    </row>
    <row r="61" spans="4:5" ht="15">
      <c r="D61" s="12"/>
      <c r="E61" s="22"/>
    </row>
    <row r="62" spans="4:5" ht="15">
      <c r="D62" s="12"/>
      <c r="E62" s="22"/>
    </row>
    <row r="63" spans="4:5" ht="15">
      <c r="D63" s="12"/>
      <c r="E63" s="22"/>
    </row>
    <row r="64" spans="4:5" ht="15">
      <c r="D64" s="12"/>
      <c r="E64" s="22"/>
    </row>
    <row r="65" spans="4:5" ht="15">
      <c r="D65" s="12"/>
      <c r="E65" s="22"/>
    </row>
    <row r="66" spans="4:5" ht="15">
      <c r="D66" s="12"/>
      <c r="E66" s="22"/>
    </row>
    <row r="67" spans="4:5" ht="15">
      <c r="D67" s="12"/>
      <c r="E67" s="22"/>
    </row>
    <row r="68" spans="4:5" ht="15">
      <c r="D68" s="12"/>
      <c r="E68" s="22"/>
    </row>
    <row r="69" spans="4:5" ht="15">
      <c r="D69" s="12"/>
      <c r="E69" s="22"/>
    </row>
    <row r="70" spans="4:5" ht="15">
      <c r="D70" s="12"/>
      <c r="E70" s="22"/>
    </row>
    <row r="71" spans="4:5" ht="15">
      <c r="D71" s="12"/>
      <c r="E71" s="22"/>
    </row>
    <row r="72" spans="4:5" ht="15">
      <c r="D72" s="12"/>
      <c r="E72" s="22"/>
    </row>
    <row r="73" spans="4:5" ht="15">
      <c r="D73" s="12"/>
      <c r="E73" s="22"/>
    </row>
    <row r="74" spans="4:5" ht="15">
      <c r="D74" s="12"/>
      <c r="E74" s="22"/>
    </row>
    <row r="75" spans="4:5" ht="15">
      <c r="D75" s="12"/>
      <c r="E75" s="22"/>
    </row>
    <row r="76" spans="4:5" ht="15">
      <c r="D76" s="12"/>
      <c r="E76" s="22"/>
    </row>
    <row r="77" spans="4:5" ht="15">
      <c r="D77" s="12"/>
      <c r="E77" s="22"/>
    </row>
    <row r="78" spans="4:5" ht="15">
      <c r="D78" s="12"/>
      <c r="E78" s="22"/>
    </row>
    <row r="79" spans="4:5" ht="15">
      <c r="D79" s="12"/>
      <c r="E79" s="22"/>
    </row>
    <row r="80" spans="4:5" ht="15">
      <c r="D80" s="12"/>
      <c r="E80" s="22"/>
    </row>
    <row r="81" spans="4:5" ht="15">
      <c r="D81" s="12"/>
      <c r="E81" s="22"/>
    </row>
    <row r="82" spans="4:5" ht="15">
      <c r="D82" s="12"/>
      <c r="E82" s="22"/>
    </row>
    <row r="83" spans="4:5" ht="15">
      <c r="D83" s="12"/>
      <c r="E83" s="22"/>
    </row>
    <row r="84" spans="4:5" ht="15">
      <c r="D84" s="12"/>
      <c r="E84" s="22"/>
    </row>
    <row r="85" spans="4:5" ht="15">
      <c r="D85" s="12"/>
      <c r="E85" s="22"/>
    </row>
    <row r="86" spans="4:5" ht="15">
      <c r="D86" s="12"/>
      <c r="E86" s="22"/>
    </row>
    <row r="87" spans="4:5" ht="15">
      <c r="D87" s="12"/>
      <c r="E87" s="22"/>
    </row>
    <row r="88" spans="4:5" ht="15">
      <c r="D88" s="12"/>
      <c r="E88" s="22"/>
    </row>
    <row r="89" spans="4:5" ht="15">
      <c r="D89" s="12"/>
      <c r="E89" s="22"/>
    </row>
    <row r="90" spans="4:5" ht="15">
      <c r="D90" s="12"/>
      <c r="E90" s="22"/>
    </row>
    <row r="91" spans="4:5" ht="15">
      <c r="D91" s="12"/>
      <c r="E91" s="22"/>
    </row>
    <row r="92" spans="4:5" ht="15">
      <c r="D92" s="12"/>
      <c r="E92" s="22"/>
    </row>
    <row r="93" spans="4:5" ht="15">
      <c r="D93" s="12"/>
      <c r="E93" s="22"/>
    </row>
    <row r="94" spans="4:5" ht="15">
      <c r="D94" s="12"/>
      <c r="E94" s="22"/>
    </row>
    <row r="95" spans="4:5" ht="15">
      <c r="D95" s="12"/>
      <c r="E95" s="22"/>
    </row>
    <row r="96" spans="4:5" ht="15">
      <c r="D96" s="12"/>
      <c r="E96" s="22"/>
    </row>
    <row r="97" spans="4:5" ht="15">
      <c r="D97" s="12"/>
      <c r="E97" s="22"/>
    </row>
    <row r="98" spans="4:5" ht="15">
      <c r="D98" s="12"/>
      <c r="E98" s="22"/>
    </row>
    <row r="99" spans="4:5" ht="15">
      <c r="D99" s="12"/>
      <c r="E99" s="22"/>
    </row>
    <row r="100" spans="4:5" ht="15">
      <c r="D100" s="12"/>
      <c r="E100" s="22"/>
    </row>
    <row r="101" spans="4:5" ht="15">
      <c r="D101" s="12"/>
      <c r="E101" s="22"/>
    </row>
    <row r="102" spans="4:5" ht="15">
      <c r="D102" s="12"/>
      <c r="E102" s="22"/>
    </row>
    <row r="103" spans="4:5" ht="15">
      <c r="D103" s="12"/>
      <c r="E103" s="22"/>
    </row>
    <row r="104" spans="4:5" ht="15">
      <c r="D104" s="12"/>
      <c r="E104" s="22"/>
    </row>
    <row r="105" spans="4:5" ht="15">
      <c r="D105" s="12"/>
      <c r="E105" s="22"/>
    </row>
    <row r="106" spans="4:5" ht="15">
      <c r="D106" s="12"/>
      <c r="E106" s="22"/>
    </row>
    <row r="107" spans="4:5" ht="15">
      <c r="D107" s="12"/>
      <c r="E107" s="22"/>
    </row>
    <row r="108" spans="4:5" ht="15">
      <c r="D108" s="12"/>
      <c r="E108" s="22"/>
    </row>
    <row r="109" spans="4:5" ht="15">
      <c r="D109" s="12"/>
      <c r="E109" s="22"/>
    </row>
    <row r="110" spans="4:5" ht="15">
      <c r="D110" s="12"/>
      <c r="E110" s="22"/>
    </row>
    <row r="111" spans="4:5" ht="15">
      <c r="D111" s="12"/>
      <c r="E111" s="22"/>
    </row>
    <row r="112" spans="4:5" ht="15">
      <c r="D112" s="12"/>
      <c r="E112" s="22"/>
    </row>
    <row r="113" spans="4:5" ht="15">
      <c r="D113" s="12"/>
      <c r="E113" s="22"/>
    </row>
    <row r="114" spans="4:5" ht="15">
      <c r="D114" s="12"/>
      <c r="E114" s="22"/>
    </row>
    <row r="115" spans="4:5" ht="15">
      <c r="D115" s="12"/>
      <c r="E115" s="22"/>
    </row>
    <row r="116" spans="4:5" ht="15">
      <c r="D116" s="12"/>
      <c r="E116" s="22"/>
    </row>
    <row r="117" spans="4:5" ht="15">
      <c r="D117" s="12"/>
      <c r="E117" s="22"/>
    </row>
    <row r="118" spans="4:5" ht="15">
      <c r="D118" s="12"/>
      <c r="E118" s="22"/>
    </row>
    <row r="119" spans="4:5" ht="15">
      <c r="D119" s="12"/>
      <c r="E119" s="22"/>
    </row>
    <row r="120" spans="4:5" ht="15">
      <c r="D120" s="12"/>
      <c r="E120" s="22"/>
    </row>
    <row r="121" spans="4:5" ht="15">
      <c r="D121" s="12"/>
      <c r="E121" s="22"/>
    </row>
    <row r="122" spans="4:5" ht="15">
      <c r="D122" s="12"/>
      <c r="E122" s="22"/>
    </row>
    <row r="123" spans="4:5" ht="15">
      <c r="D123" s="12"/>
      <c r="E123" s="22"/>
    </row>
    <row r="124" spans="4:5" ht="15">
      <c r="D124" s="12"/>
      <c r="E124" s="22"/>
    </row>
    <row r="125" spans="4:5" ht="15">
      <c r="D125" s="12"/>
      <c r="E125" s="22"/>
    </row>
    <row r="126" spans="4:5" ht="15">
      <c r="D126" s="12"/>
      <c r="E126" s="22"/>
    </row>
    <row r="127" spans="4:5" ht="15">
      <c r="D127" s="12"/>
      <c r="E127" s="22"/>
    </row>
    <row r="128" spans="4:5" ht="15">
      <c r="D128" s="12"/>
      <c r="E128" s="22"/>
    </row>
    <row r="129" spans="4:5" ht="15">
      <c r="D129" s="12"/>
      <c r="E129" s="22"/>
    </row>
    <row r="130" spans="4:5" ht="15">
      <c r="D130" s="12"/>
      <c r="E130" s="22"/>
    </row>
  </sheetData>
  <sheetProtection/>
  <mergeCells count="16">
    <mergeCell ref="A14:F14"/>
    <mergeCell ref="A15:F15"/>
    <mergeCell ref="A21:A22"/>
    <mergeCell ref="B21:B22"/>
    <mergeCell ref="D21:D22"/>
    <mergeCell ref="E21:E22"/>
    <mergeCell ref="A16:F16"/>
    <mergeCell ref="A17:F17"/>
    <mergeCell ref="A8:B8"/>
    <mergeCell ref="E8:F8"/>
    <mergeCell ref="A9:B9"/>
    <mergeCell ref="D9:F9"/>
    <mergeCell ref="A10:B10"/>
    <mergeCell ref="D10:F10"/>
    <mergeCell ref="A11:B11"/>
    <mergeCell ref="A12:B12"/>
  </mergeCells>
  <printOptions/>
  <pageMargins left="1.1811023622047245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3"/>
  <sheetViews>
    <sheetView zoomScalePageLayoutView="0" workbookViewId="0" topLeftCell="A1">
      <selection activeCell="A5" sqref="A5:B5"/>
    </sheetView>
  </sheetViews>
  <sheetFormatPr defaultColWidth="9.140625" defaultRowHeight="15"/>
  <cols>
    <col min="1" max="1" width="5.8515625" style="4" customWidth="1"/>
    <col min="2" max="2" width="38.00390625" style="4" customWidth="1"/>
    <col min="3" max="3" width="17.7109375" style="4" hidden="1" customWidth="1"/>
    <col min="4" max="4" width="14.28125" style="4" customWidth="1"/>
    <col min="5" max="5" width="13.7109375" style="19" customWidth="1"/>
    <col min="6" max="6" width="10.140625" style="30" customWidth="1"/>
    <col min="7" max="7" width="10.57421875" style="31" customWidth="1"/>
    <col min="8" max="8" width="10.421875" style="31" customWidth="1"/>
    <col min="9" max="9" width="10.00390625" style="31" customWidth="1"/>
    <col min="10" max="10" width="9.8515625" style="31" customWidth="1"/>
    <col min="11" max="11" width="9.28125" style="31" customWidth="1"/>
    <col min="12" max="14" width="9.8515625" style="31" customWidth="1"/>
    <col min="15" max="23" width="9.8515625" style="31" hidden="1" customWidth="1"/>
    <col min="24" max="39" width="9.8515625" style="31" customWidth="1"/>
    <col min="40" max="40" width="11.421875" style="31" customWidth="1"/>
    <col min="41" max="41" width="11.00390625" style="31" customWidth="1"/>
    <col min="42" max="42" width="11.140625" style="31" customWidth="1"/>
    <col min="43" max="44" width="9.140625" style="31" customWidth="1"/>
    <col min="45" max="16384" width="9.140625" style="4" customWidth="1"/>
  </cols>
  <sheetData>
    <row r="1" spans="1:6" ht="15.75" customHeight="1">
      <c r="A1" s="60" t="s">
        <v>0</v>
      </c>
      <c r="B1" s="61"/>
      <c r="C1" s="52"/>
      <c r="D1" s="53"/>
      <c r="E1" s="62" t="s">
        <v>9</v>
      </c>
      <c r="F1" s="63"/>
    </row>
    <row r="2" spans="1:6" ht="15">
      <c r="A2" s="61" t="s">
        <v>83</v>
      </c>
      <c r="B2" s="61"/>
      <c r="C2" s="52"/>
      <c r="D2" s="64" t="s">
        <v>114</v>
      </c>
      <c r="E2" s="63"/>
      <c r="F2" s="63"/>
    </row>
    <row r="3" spans="1:6" ht="15">
      <c r="A3" s="61" t="s">
        <v>84</v>
      </c>
      <c r="B3" s="61"/>
      <c r="C3" s="52"/>
      <c r="D3" s="64" t="s">
        <v>118</v>
      </c>
      <c r="E3" s="63"/>
      <c r="F3" s="63"/>
    </row>
    <row r="4" spans="1:5" ht="15">
      <c r="A4" s="61" t="s">
        <v>2</v>
      </c>
      <c r="B4" s="61"/>
      <c r="C4" s="52"/>
      <c r="D4" s="52"/>
      <c r="E4" s="21"/>
    </row>
    <row r="5" spans="1:5" ht="15" customHeight="1">
      <c r="A5" s="61" t="s">
        <v>137</v>
      </c>
      <c r="B5" s="61"/>
      <c r="C5" s="52"/>
      <c r="D5" s="52"/>
      <c r="E5" s="21"/>
    </row>
    <row r="6" spans="1:5" ht="15">
      <c r="A6" s="54"/>
      <c r="B6" s="54"/>
      <c r="C6" s="52"/>
      <c r="D6" s="52"/>
      <c r="E6" s="21"/>
    </row>
    <row r="7" spans="1:6" ht="15.75">
      <c r="A7" s="67" t="s">
        <v>86</v>
      </c>
      <c r="B7" s="67"/>
      <c r="C7" s="67"/>
      <c r="D7" s="67"/>
      <c r="E7" s="67"/>
      <c r="F7" s="67"/>
    </row>
    <row r="8" spans="1:6" ht="15.75">
      <c r="A8" s="67" t="s">
        <v>87</v>
      </c>
      <c r="B8" s="67"/>
      <c r="C8" s="67"/>
      <c r="D8" s="67"/>
      <c r="E8" s="67"/>
      <c r="F8" s="67"/>
    </row>
    <row r="9" spans="1:6" ht="15.75">
      <c r="A9" s="67" t="s">
        <v>88</v>
      </c>
      <c r="B9" s="67"/>
      <c r="C9" s="67"/>
      <c r="D9" s="67"/>
      <c r="E9" s="67"/>
      <c r="F9" s="67"/>
    </row>
    <row r="10" spans="1:6" ht="15">
      <c r="A10" s="78" t="s">
        <v>89</v>
      </c>
      <c r="B10" s="79"/>
      <c r="C10" s="79"/>
      <c r="D10" s="79"/>
      <c r="E10" s="79"/>
      <c r="F10" s="79"/>
    </row>
    <row r="11" spans="1:5" ht="15">
      <c r="A11" s="3"/>
      <c r="B11" s="3"/>
      <c r="C11" s="3"/>
      <c r="D11" s="3"/>
      <c r="E11" s="55"/>
    </row>
    <row r="12" spans="1:9" ht="28.5">
      <c r="A12" s="10" t="s">
        <v>47</v>
      </c>
      <c r="B12" s="3"/>
      <c r="C12" s="3"/>
      <c r="D12" s="3"/>
      <c r="E12" s="48"/>
      <c r="H12" s="51">
        <v>1481.6</v>
      </c>
      <c r="I12" s="31">
        <v>77549.72</v>
      </c>
    </row>
    <row r="13" ht="15">
      <c r="D13" s="16"/>
    </row>
    <row r="14" spans="1:42" ht="42" customHeight="1">
      <c r="A14" s="74" t="s">
        <v>8</v>
      </c>
      <c r="B14" s="74" t="s">
        <v>4</v>
      </c>
      <c r="C14" s="28" t="s">
        <v>5</v>
      </c>
      <c r="D14" s="75" t="s">
        <v>6</v>
      </c>
      <c r="E14" s="77" t="s">
        <v>7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3"/>
    </row>
    <row r="15" spans="1:42" ht="14.25" customHeight="1">
      <c r="A15" s="74"/>
      <c r="B15" s="74"/>
      <c r="C15" s="28"/>
      <c r="D15" s="76"/>
      <c r="E15" s="77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6"/>
    </row>
    <row r="16" spans="1:44" s="11" customFormat="1" ht="51">
      <c r="A16" s="23">
        <v>1</v>
      </c>
      <c r="B16" s="24" t="s">
        <v>13</v>
      </c>
      <c r="C16" s="25"/>
      <c r="D16" s="44">
        <f>D17+D18+D47+D48</f>
        <v>696676.7638805142</v>
      </c>
      <c r="E16" s="50">
        <f>E17+E18+E47+E48</f>
        <v>39.18493317362503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6"/>
      <c r="AQ16" s="38"/>
      <c r="AR16" s="38"/>
    </row>
    <row r="17" spans="1:44" ht="51.75" customHeight="1">
      <c r="A17" s="8">
        <v>2</v>
      </c>
      <c r="B17" s="5" t="s">
        <v>45</v>
      </c>
      <c r="C17" s="13" t="s">
        <v>54</v>
      </c>
      <c r="D17" s="45">
        <f>1905742.15/77549.72*1481.6</f>
        <v>36409.51339914573</v>
      </c>
      <c r="E17" s="26">
        <f>D17/H12/12</f>
        <v>2.047871298998028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6"/>
      <c r="AQ17" s="40"/>
      <c r="AR17" s="40"/>
    </row>
    <row r="18" spans="1:44" ht="25.5">
      <c r="A18" s="8">
        <v>3</v>
      </c>
      <c r="B18" s="5" t="s">
        <v>29</v>
      </c>
      <c r="C18" s="13"/>
      <c r="D18" s="45">
        <f>D19+D20+D21+D22+D23+D24+D25+D26+D27+D28+D29+D30+D31+D32+D33+D34+D35+D36+D37+D38+D39+D40+D41+D42+D43+D44+D45+D46+D47+D48+D49</f>
        <v>660267.2504813685</v>
      </c>
      <c r="E18" s="26">
        <f>SUM(E19:E49)</f>
        <v>37.13706187462701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0"/>
      <c r="AR18" s="40"/>
    </row>
    <row r="19" spans="1:44" ht="25.5">
      <c r="A19" s="9">
        <v>3.1</v>
      </c>
      <c r="B19" s="5" t="s">
        <v>14</v>
      </c>
      <c r="C19" s="13"/>
      <c r="D19" s="46"/>
      <c r="E19" s="27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36"/>
      <c r="AQ19" s="40"/>
      <c r="AR19" s="40"/>
    </row>
    <row r="20" spans="1:44" ht="24">
      <c r="A20" s="6">
        <v>3.2</v>
      </c>
      <c r="B20" s="5" t="s">
        <v>15</v>
      </c>
      <c r="C20" s="13" t="s">
        <v>57</v>
      </c>
      <c r="D20" s="46">
        <f>353626/77549.72*1481.6</f>
        <v>6756.082183146502</v>
      </c>
      <c r="E20" s="27">
        <f>D20/H12/12</f>
        <v>0.3799992228641616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36"/>
      <c r="AQ20" s="40"/>
      <c r="AR20" s="40"/>
    </row>
    <row r="21" spans="1:44" ht="25.5">
      <c r="A21" s="9">
        <v>3.3</v>
      </c>
      <c r="B21" s="5" t="s">
        <v>16</v>
      </c>
      <c r="C21" s="13" t="s">
        <v>59</v>
      </c>
      <c r="D21" s="46">
        <f>158201/77549.72*1481.6</f>
        <v>3022.455807706333</v>
      </c>
      <c r="E21" s="27">
        <f>D21/H12/12</f>
        <v>0.1699995392203436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36"/>
      <c r="AQ21" s="40"/>
      <c r="AR21" s="40"/>
    </row>
    <row r="22" spans="1:44" ht="34.5" customHeight="1">
      <c r="A22" s="6" t="s">
        <v>68</v>
      </c>
      <c r="B22" s="5" t="s">
        <v>17</v>
      </c>
      <c r="C22" s="13" t="s">
        <v>56</v>
      </c>
      <c r="D22" s="46"/>
      <c r="E22" s="27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36"/>
      <c r="AQ22" s="40"/>
      <c r="AR22" s="40"/>
    </row>
    <row r="23" spans="1:44" ht="34.5" customHeight="1">
      <c r="A23" s="6" t="s">
        <v>69</v>
      </c>
      <c r="B23" s="5" t="s">
        <v>70</v>
      </c>
      <c r="C23" s="13"/>
      <c r="D23" s="46"/>
      <c r="E23" s="27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36"/>
      <c r="AQ23" s="40"/>
      <c r="AR23" s="40"/>
    </row>
    <row r="24" spans="1:44" ht="41.25" customHeight="1">
      <c r="A24" s="6" t="s">
        <v>71</v>
      </c>
      <c r="B24" s="5" t="s">
        <v>72</v>
      </c>
      <c r="C24" s="13"/>
      <c r="D24" s="46"/>
      <c r="E24" s="27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36"/>
      <c r="AQ24" s="40"/>
      <c r="AR24" s="40"/>
    </row>
    <row r="25" spans="1:44" ht="25.5">
      <c r="A25" s="9">
        <v>3.7</v>
      </c>
      <c r="B25" s="5" t="s">
        <v>18</v>
      </c>
      <c r="C25" s="13" t="s">
        <v>57</v>
      </c>
      <c r="D25" s="46">
        <f>2345097/77549.72*1481.6</f>
        <v>44803.45918979462</v>
      </c>
      <c r="E25" s="27">
        <f>D25/H12/12</f>
        <v>2.5199929799875487</v>
      </c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36"/>
      <c r="AQ25" s="40"/>
      <c r="AR25" s="40"/>
    </row>
    <row r="26" spans="1:44" ht="25.5">
      <c r="A26" s="6">
        <v>3.8</v>
      </c>
      <c r="B26" s="5" t="s">
        <v>64</v>
      </c>
      <c r="C26" s="13" t="s">
        <v>57</v>
      </c>
      <c r="D26" s="46">
        <f>651416/77549.72*1481.6</f>
        <v>12445.40851469225</v>
      </c>
      <c r="E26" s="27">
        <f>D26/H12/12</f>
        <v>0.6999982290931116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36"/>
      <c r="AQ26" s="40"/>
      <c r="AR26" s="40"/>
    </row>
    <row r="27" spans="1:44" ht="25.5">
      <c r="A27" s="9">
        <v>3.9</v>
      </c>
      <c r="B27" s="5" t="s">
        <v>19</v>
      </c>
      <c r="C27" s="13" t="s">
        <v>57</v>
      </c>
      <c r="D27" s="46">
        <f>697946/77549.72*1481.6</f>
        <v>13334.371724359544</v>
      </c>
      <c r="E27" s="27">
        <f>D27/H12/12</f>
        <v>0.7499984096224547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36"/>
      <c r="AQ27" s="40"/>
      <c r="AR27" s="40"/>
    </row>
    <row r="28" spans="1:44" ht="25.5">
      <c r="A28" s="6" t="s">
        <v>30</v>
      </c>
      <c r="B28" s="5" t="s">
        <v>65</v>
      </c>
      <c r="C28" s="13" t="s">
        <v>57</v>
      </c>
      <c r="D28" s="46"/>
      <c r="E28" s="27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36"/>
      <c r="AQ28" s="40"/>
      <c r="AR28" s="40"/>
    </row>
    <row r="29" spans="1:44" ht="25.5">
      <c r="A29" s="6" t="s">
        <v>31</v>
      </c>
      <c r="B29" s="5" t="s">
        <v>66</v>
      </c>
      <c r="C29" s="13"/>
      <c r="D29" s="46"/>
      <c r="E29" s="27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36"/>
      <c r="AQ29" s="40"/>
      <c r="AR29" s="40"/>
    </row>
    <row r="30" spans="1:44" ht="40.5" customHeight="1">
      <c r="A30" s="6" t="s">
        <v>32</v>
      </c>
      <c r="B30" s="5" t="s">
        <v>20</v>
      </c>
      <c r="C30" s="13"/>
      <c r="D30" s="46"/>
      <c r="E30" s="27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36"/>
      <c r="AQ30" s="40"/>
      <c r="AR30" s="40"/>
    </row>
    <row r="31" spans="1:44" ht="51">
      <c r="A31" s="6" t="s">
        <v>33</v>
      </c>
      <c r="B31" s="5" t="s">
        <v>21</v>
      </c>
      <c r="C31" s="13" t="s">
        <v>58</v>
      </c>
      <c r="D31" s="46">
        <f>2373015/77549.72*1481.6</f>
        <v>45336.83711559499</v>
      </c>
      <c r="E31" s="27">
        <f>D31/H12/12</f>
        <v>2.549993088305154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36"/>
      <c r="AQ31" s="40"/>
      <c r="AR31" s="40"/>
    </row>
    <row r="32" spans="1:44" ht="33" customHeight="1">
      <c r="A32" s="6" t="s">
        <v>34</v>
      </c>
      <c r="B32" s="5" t="s">
        <v>73</v>
      </c>
      <c r="C32" s="13"/>
      <c r="D32" s="46"/>
      <c r="E32" s="27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36"/>
      <c r="AQ32" s="40"/>
      <c r="AR32" s="40"/>
    </row>
    <row r="33" spans="1:44" ht="41.25" customHeight="1">
      <c r="A33" s="6" t="s">
        <v>35</v>
      </c>
      <c r="B33" s="5" t="s">
        <v>22</v>
      </c>
      <c r="C33" s="13"/>
      <c r="D33" s="46"/>
      <c r="E33" s="27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36"/>
      <c r="AQ33" s="40"/>
      <c r="AR33" s="40"/>
    </row>
    <row r="34" spans="1:44" ht="41.25" customHeight="1">
      <c r="A34" s="6" t="s">
        <v>36</v>
      </c>
      <c r="B34" s="5" t="s">
        <v>74</v>
      </c>
      <c r="C34" s="13"/>
      <c r="D34" s="46"/>
      <c r="E34" s="27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36"/>
      <c r="AQ34" s="40"/>
      <c r="AR34" s="40"/>
    </row>
    <row r="35" spans="1:44" ht="40.5" customHeight="1">
      <c r="A35" s="6" t="s">
        <v>37</v>
      </c>
      <c r="B35" s="5" t="s">
        <v>75</v>
      </c>
      <c r="C35" s="13" t="s">
        <v>54</v>
      </c>
      <c r="D35" s="46">
        <f>2696000/77549.72*1481.6</f>
        <v>51507.51801553893</v>
      </c>
      <c r="E35" s="27">
        <f>D35/H12/12</f>
        <v>2.8970661230842185</v>
      </c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36"/>
      <c r="AQ35" s="40"/>
      <c r="AR35" s="40"/>
    </row>
    <row r="36" spans="1:44" ht="51">
      <c r="A36" s="6" t="s">
        <v>38</v>
      </c>
      <c r="B36" s="5" t="s">
        <v>67</v>
      </c>
      <c r="C36" s="13"/>
      <c r="D36" s="46"/>
      <c r="E36" s="27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36"/>
      <c r="AQ36" s="40"/>
      <c r="AR36" s="40"/>
    </row>
    <row r="37" spans="1:44" ht="40.5" customHeight="1">
      <c r="A37" s="6" t="s">
        <v>39</v>
      </c>
      <c r="B37" s="5" t="s">
        <v>76</v>
      </c>
      <c r="C37" s="13"/>
      <c r="D37" s="46"/>
      <c r="E37" s="27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36"/>
      <c r="AQ37" s="40"/>
      <c r="AR37" s="40"/>
    </row>
    <row r="38" spans="1:44" ht="39" customHeight="1">
      <c r="A38" s="6" t="s">
        <v>40</v>
      </c>
      <c r="B38" s="5" t="s">
        <v>77</v>
      </c>
      <c r="C38" s="13" t="s">
        <v>54</v>
      </c>
      <c r="D38" s="46">
        <f>1448000/77549.72*1481.6</f>
        <v>27664.275254636636</v>
      </c>
      <c r="E38" s="27">
        <f>D38/H12/12</f>
        <v>1.5559910037930074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36"/>
      <c r="AQ38" s="40"/>
      <c r="AR38" s="40"/>
    </row>
    <row r="39" spans="1:44" ht="39" customHeight="1">
      <c r="A39" s="6" t="s">
        <v>41</v>
      </c>
      <c r="B39" s="5" t="s">
        <v>78</v>
      </c>
      <c r="C39" s="13"/>
      <c r="D39" s="46"/>
      <c r="E39" s="27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36"/>
      <c r="AQ39" s="40"/>
      <c r="AR39" s="40"/>
    </row>
    <row r="40" spans="1:44" ht="25.5">
      <c r="A40" s="6" t="s">
        <v>42</v>
      </c>
      <c r="B40" s="5" t="s">
        <v>62</v>
      </c>
      <c r="C40" s="13" t="s">
        <v>54</v>
      </c>
      <c r="D40" s="46"/>
      <c r="E40" s="27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36"/>
      <c r="AQ40" s="40"/>
      <c r="AR40" s="40"/>
    </row>
    <row r="41" spans="1:44" ht="25.5">
      <c r="A41" s="6" t="s">
        <v>43</v>
      </c>
      <c r="B41" s="7" t="s">
        <v>63</v>
      </c>
      <c r="C41" s="13" t="s">
        <v>54</v>
      </c>
      <c r="D41" s="46">
        <f>13972201/77549.72*1481.6</f>
        <v>266941.17014993733</v>
      </c>
      <c r="E41" s="27">
        <f>D41/H12/12</f>
        <v>15.014239681759435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36"/>
      <c r="AQ41" s="40"/>
      <c r="AR41" s="40"/>
    </row>
    <row r="42" spans="1:44" ht="25.5">
      <c r="A42" s="6" t="s">
        <v>46</v>
      </c>
      <c r="B42" s="5" t="s">
        <v>23</v>
      </c>
      <c r="C42" s="13" t="s">
        <v>60</v>
      </c>
      <c r="D42" s="46">
        <f>465297/77549.72*1481.6</f>
        <v>8889.57478118554</v>
      </c>
      <c r="E42" s="27">
        <f>D42/H12/12</f>
        <v>0.49999858155516225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36"/>
      <c r="AQ42" s="40"/>
      <c r="AR42" s="40"/>
    </row>
    <row r="43" spans="1:44" ht="25.5">
      <c r="A43" s="6" t="s">
        <v>79</v>
      </c>
      <c r="B43" s="5" t="s">
        <v>24</v>
      </c>
      <c r="C43" s="13" t="s">
        <v>61</v>
      </c>
      <c r="D43" s="46">
        <f>5667319/77549.72*1481.6</f>
        <v>108275.05025679008</v>
      </c>
      <c r="E43" s="27">
        <f>D43/H12/12</f>
        <v>6.089984378194187</v>
      </c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36"/>
      <c r="AQ43" s="40"/>
      <c r="AR43" s="40"/>
    </row>
    <row r="44" spans="1:44" ht="38.25">
      <c r="A44" s="6" t="s">
        <v>80</v>
      </c>
      <c r="B44" s="5" t="s">
        <v>25</v>
      </c>
      <c r="C44" s="17" t="s">
        <v>55</v>
      </c>
      <c r="D44" s="46">
        <f>2308000/77549.72*1481.6</f>
        <v>44094.714977694304</v>
      </c>
      <c r="E44" s="27">
        <f>D44/H12/12</f>
        <v>2.4801293071507327</v>
      </c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36"/>
      <c r="AQ44" s="40"/>
      <c r="AR44" s="40"/>
    </row>
    <row r="45" spans="1:44" ht="25.5">
      <c r="A45" s="6" t="s">
        <v>81</v>
      </c>
      <c r="B45" s="5" t="s">
        <v>26</v>
      </c>
      <c r="C45" s="13" t="s">
        <v>54</v>
      </c>
      <c r="D45" s="46">
        <f>9000/77549.72*1481.6</f>
        <v>171.94646221804538</v>
      </c>
      <c r="E45" s="27">
        <f>D45/H12/12</f>
        <v>0.009671214802580846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36"/>
      <c r="AQ45" s="40"/>
      <c r="AR45" s="40"/>
    </row>
    <row r="46" spans="1:44" ht="38.25">
      <c r="A46" s="6" t="s">
        <v>82</v>
      </c>
      <c r="B46" s="5" t="s">
        <v>27</v>
      </c>
      <c r="C46" s="14" t="s">
        <v>54</v>
      </c>
      <c r="D46" s="46">
        <f>1414507/77549.72*1481.6</f>
        <v>27024.38604807342</v>
      </c>
      <c r="E46" s="27">
        <f>D46/H12/12</f>
        <v>1.5200001151949143</v>
      </c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36"/>
      <c r="AQ46" s="40"/>
      <c r="AR46" s="40"/>
    </row>
    <row r="47" spans="1:44" ht="25.5">
      <c r="A47" s="6" t="s">
        <v>44</v>
      </c>
      <c r="B47" s="5" t="s">
        <v>28</v>
      </c>
      <c r="C47" s="15" t="s">
        <v>54</v>
      </c>
      <c r="D47" s="46"/>
      <c r="E47" s="27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36"/>
      <c r="AQ47" s="40"/>
      <c r="AR47" s="40"/>
    </row>
    <row r="48" spans="1:44" ht="38.25">
      <c r="A48" s="6" t="s">
        <v>48</v>
      </c>
      <c r="B48" s="5" t="s">
        <v>49</v>
      </c>
      <c r="C48" s="13" t="s">
        <v>52</v>
      </c>
      <c r="D48" s="46"/>
      <c r="E48" s="27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36"/>
      <c r="AQ48" s="40"/>
      <c r="AR48" s="40"/>
    </row>
    <row r="49" spans="1:44" ht="38.25">
      <c r="A49" s="6" t="s">
        <v>50</v>
      </c>
      <c r="B49" s="5" t="s">
        <v>51</v>
      </c>
      <c r="C49" s="13" t="s">
        <v>52</v>
      </c>
      <c r="D49" s="46"/>
      <c r="E49" s="27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36"/>
      <c r="AQ49" s="40"/>
      <c r="AR49" s="40"/>
    </row>
    <row r="50" spans="4:5" ht="15">
      <c r="D50" s="12"/>
      <c r="E50" s="22"/>
    </row>
    <row r="51" spans="4:5" ht="15">
      <c r="D51" s="12"/>
      <c r="E51" s="22"/>
    </row>
    <row r="52" spans="4:5" ht="15">
      <c r="D52" s="12"/>
      <c r="E52" s="22"/>
    </row>
    <row r="53" spans="4:5" ht="15">
      <c r="D53" s="12"/>
      <c r="E53" s="22"/>
    </row>
    <row r="54" spans="4:5" ht="15">
      <c r="D54" s="12"/>
      <c r="E54" s="22"/>
    </row>
    <row r="55" spans="4:5" ht="15">
      <c r="D55" s="12"/>
      <c r="E55" s="22"/>
    </row>
    <row r="56" spans="4:5" ht="15">
      <c r="D56" s="12"/>
      <c r="E56" s="22"/>
    </row>
    <row r="57" spans="4:5" ht="15">
      <c r="D57" s="12"/>
      <c r="E57" s="22"/>
    </row>
    <row r="58" spans="4:5" ht="15">
      <c r="D58" s="12"/>
      <c r="E58" s="22"/>
    </row>
    <row r="59" spans="4:5" ht="15">
      <c r="D59" s="12"/>
      <c r="E59" s="22"/>
    </row>
    <row r="60" spans="4:5" ht="15">
      <c r="D60" s="12"/>
      <c r="E60" s="22"/>
    </row>
    <row r="61" spans="4:5" ht="15">
      <c r="D61" s="12"/>
      <c r="E61" s="22"/>
    </row>
    <row r="62" spans="4:5" ht="15">
      <c r="D62" s="12"/>
      <c r="E62" s="22"/>
    </row>
    <row r="63" spans="4:5" ht="15">
      <c r="D63" s="12"/>
      <c r="E63" s="22"/>
    </row>
    <row r="64" spans="4:5" ht="15">
      <c r="D64" s="12"/>
      <c r="E64" s="22"/>
    </row>
    <row r="65" spans="4:5" ht="15">
      <c r="D65" s="12"/>
      <c r="E65" s="22"/>
    </row>
    <row r="66" spans="4:5" ht="15">
      <c r="D66" s="12"/>
      <c r="E66" s="22"/>
    </row>
    <row r="67" spans="4:5" ht="15">
      <c r="D67" s="12"/>
      <c r="E67" s="22"/>
    </row>
    <row r="68" spans="4:5" ht="15">
      <c r="D68" s="12"/>
      <c r="E68" s="22"/>
    </row>
    <row r="69" spans="4:5" ht="15">
      <c r="D69" s="12"/>
      <c r="E69" s="22"/>
    </row>
    <row r="70" spans="4:5" ht="15">
      <c r="D70" s="12"/>
      <c r="E70" s="22"/>
    </row>
    <row r="71" spans="4:5" ht="15">
      <c r="D71" s="12"/>
      <c r="E71" s="22"/>
    </row>
    <row r="72" spans="4:5" ht="15">
      <c r="D72" s="12"/>
      <c r="E72" s="22"/>
    </row>
    <row r="73" spans="4:5" ht="15">
      <c r="D73" s="12"/>
      <c r="E73" s="22"/>
    </row>
    <row r="74" spans="4:5" ht="15">
      <c r="D74" s="12"/>
      <c r="E74" s="22"/>
    </row>
    <row r="75" spans="4:5" ht="15">
      <c r="D75" s="12"/>
      <c r="E75" s="22"/>
    </row>
    <row r="76" spans="4:5" ht="15">
      <c r="D76" s="12"/>
      <c r="E76" s="22"/>
    </row>
    <row r="77" spans="4:5" ht="15">
      <c r="D77" s="12"/>
      <c r="E77" s="22"/>
    </row>
    <row r="78" spans="4:5" ht="15">
      <c r="D78" s="12"/>
      <c r="E78" s="22"/>
    </row>
    <row r="79" spans="4:5" ht="15">
      <c r="D79" s="12"/>
      <c r="E79" s="22"/>
    </row>
    <row r="80" spans="4:5" ht="15">
      <c r="D80" s="12"/>
      <c r="E80" s="22"/>
    </row>
    <row r="81" spans="4:5" ht="15">
      <c r="D81" s="12"/>
      <c r="E81" s="22"/>
    </row>
    <row r="82" spans="4:5" ht="15">
      <c r="D82" s="12"/>
      <c r="E82" s="22"/>
    </row>
    <row r="83" spans="4:5" ht="15">
      <c r="D83" s="12"/>
      <c r="E83" s="22"/>
    </row>
    <row r="84" spans="4:5" ht="15">
      <c r="D84" s="12"/>
      <c r="E84" s="22"/>
    </row>
    <row r="85" spans="4:5" ht="15">
      <c r="D85" s="12"/>
      <c r="E85" s="22"/>
    </row>
    <row r="86" spans="4:5" ht="15">
      <c r="D86" s="12"/>
      <c r="E86" s="22"/>
    </row>
    <row r="87" spans="4:5" ht="15">
      <c r="D87" s="12"/>
      <c r="E87" s="22"/>
    </row>
    <row r="88" spans="4:5" ht="15">
      <c r="D88" s="12"/>
      <c r="E88" s="22"/>
    </row>
    <row r="89" spans="4:5" ht="15">
      <c r="D89" s="12"/>
      <c r="E89" s="22"/>
    </row>
    <row r="90" spans="4:5" ht="15">
      <c r="D90" s="12"/>
      <c r="E90" s="22"/>
    </row>
    <row r="91" spans="4:5" ht="15">
      <c r="D91" s="12"/>
      <c r="E91" s="22"/>
    </row>
    <row r="92" spans="4:5" ht="15">
      <c r="D92" s="12"/>
      <c r="E92" s="22"/>
    </row>
    <row r="93" spans="4:5" ht="15">
      <c r="D93" s="12"/>
      <c r="E93" s="22"/>
    </row>
    <row r="94" spans="4:5" ht="15">
      <c r="D94" s="12"/>
      <c r="E94" s="22"/>
    </row>
    <row r="95" spans="4:5" ht="15">
      <c r="D95" s="12"/>
      <c r="E95" s="22"/>
    </row>
    <row r="96" spans="4:5" ht="15">
      <c r="D96" s="12"/>
      <c r="E96" s="22"/>
    </row>
    <row r="97" spans="4:5" ht="15">
      <c r="D97" s="12"/>
      <c r="E97" s="22"/>
    </row>
    <row r="98" spans="4:5" ht="15">
      <c r="D98" s="12"/>
      <c r="E98" s="22"/>
    </row>
    <row r="99" spans="4:5" ht="15">
      <c r="D99" s="12"/>
      <c r="E99" s="22"/>
    </row>
    <row r="100" spans="4:5" ht="15">
      <c r="D100" s="12"/>
      <c r="E100" s="22"/>
    </row>
    <row r="101" spans="4:5" ht="15">
      <c r="D101" s="12"/>
      <c r="E101" s="22"/>
    </row>
    <row r="102" spans="4:5" ht="15">
      <c r="D102" s="12"/>
      <c r="E102" s="22"/>
    </row>
    <row r="103" spans="4:5" ht="15">
      <c r="D103" s="12"/>
      <c r="E103" s="22"/>
    </row>
    <row r="104" spans="4:5" ht="15">
      <c r="D104" s="12"/>
      <c r="E104" s="22"/>
    </row>
    <row r="105" spans="4:5" ht="15">
      <c r="D105" s="12"/>
      <c r="E105" s="22"/>
    </row>
    <row r="106" spans="4:5" ht="15">
      <c r="D106" s="12"/>
      <c r="E106" s="22"/>
    </row>
    <row r="107" spans="4:5" ht="15">
      <c r="D107" s="12"/>
      <c r="E107" s="22"/>
    </row>
    <row r="108" spans="4:5" ht="15">
      <c r="D108" s="12"/>
      <c r="E108" s="22"/>
    </row>
    <row r="109" spans="4:5" ht="15">
      <c r="D109" s="12"/>
      <c r="E109" s="22"/>
    </row>
    <row r="110" spans="4:5" ht="15">
      <c r="D110" s="12"/>
      <c r="E110" s="22"/>
    </row>
    <row r="111" spans="4:5" ht="15">
      <c r="D111" s="12"/>
      <c r="E111" s="22"/>
    </row>
    <row r="112" spans="4:5" ht="15">
      <c r="D112" s="12"/>
      <c r="E112" s="22"/>
    </row>
    <row r="113" spans="4:5" ht="15">
      <c r="D113" s="12"/>
      <c r="E113" s="22"/>
    </row>
    <row r="114" spans="4:5" ht="15">
      <c r="D114" s="12"/>
      <c r="E114" s="22"/>
    </row>
    <row r="115" spans="4:5" ht="15">
      <c r="D115" s="12"/>
      <c r="E115" s="22"/>
    </row>
    <row r="116" spans="4:5" ht="15">
      <c r="D116" s="12"/>
      <c r="E116" s="22"/>
    </row>
    <row r="117" spans="4:5" ht="15">
      <c r="D117" s="12"/>
      <c r="E117" s="22"/>
    </row>
    <row r="118" spans="4:5" ht="15">
      <c r="D118" s="12"/>
      <c r="E118" s="22"/>
    </row>
    <row r="119" spans="4:5" ht="15">
      <c r="D119" s="12"/>
      <c r="E119" s="22"/>
    </row>
    <row r="120" spans="4:5" ht="15">
      <c r="D120" s="12"/>
      <c r="E120" s="22"/>
    </row>
    <row r="121" spans="4:5" ht="15">
      <c r="D121" s="12"/>
      <c r="E121" s="22"/>
    </row>
    <row r="122" spans="4:5" ht="15">
      <c r="D122" s="12"/>
      <c r="E122" s="22"/>
    </row>
    <row r="123" spans="4:5" ht="15">
      <c r="D123" s="12"/>
      <c r="E123" s="22"/>
    </row>
  </sheetData>
  <sheetProtection/>
  <mergeCells count="16">
    <mergeCell ref="E1:F1"/>
    <mergeCell ref="D2:F2"/>
    <mergeCell ref="D3:F3"/>
    <mergeCell ref="A7:F7"/>
    <mergeCell ref="A1:B1"/>
    <mergeCell ref="A2:B2"/>
    <mergeCell ref="A3:B3"/>
    <mergeCell ref="A4:B4"/>
    <mergeCell ref="A5:B5"/>
    <mergeCell ref="A8:F8"/>
    <mergeCell ref="A9:F9"/>
    <mergeCell ref="A14:A15"/>
    <mergeCell ref="B14:B15"/>
    <mergeCell ref="D14:D15"/>
    <mergeCell ref="E14:E15"/>
    <mergeCell ref="A10:F10"/>
  </mergeCells>
  <printOptions horizontalCentered="1" verticalCentered="1"/>
  <pageMargins left="1.1811023622047245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R130"/>
  <sheetViews>
    <sheetView zoomScalePageLayoutView="0" workbookViewId="0" topLeftCell="A8">
      <selection activeCell="A12" sqref="A12:B12"/>
    </sheetView>
  </sheetViews>
  <sheetFormatPr defaultColWidth="9.140625" defaultRowHeight="15"/>
  <cols>
    <col min="1" max="1" width="5.8515625" style="4" customWidth="1"/>
    <col min="2" max="2" width="38.00390625" style="4" customWidth="1"/>
    <col min="3" max="3" width="17.7109375" style="4" hidden="1" customWidth="1"/>
    <col min="4" max="4" width="14.28125" style="4" customWidth="1"/>
    <col min="5" max="5" width="13.7109375" style="19" customWidth="1"/>
    <col min="6" max="6" width="10.140625" style="30" customWidth="1"/>
    <col min="7" max="7" width="10.57421875" style="31" customWidth="1"/>
    <col min="8" max="8" width="10.421875" style="31" customWidth="1"/>
    <col min="9" max="9" width="10.00390625" style="31" customWidth="1"/>
    <col min="10" max="10" width="9.8515625" style="31" customWidth="1"/>
    <col min="11" max="11" width="9.28125" style="31" customWidth="1"/>
    <col min="12" max="14" width="9.8515625" style="31" customWidth="1"/>
    <col min="15" max="23" width="9.8515625" style="31" hidden="1" customWidth="1"/>
    <col min="24" max="39" width="9.8515625" style="31" customWidth="1"/>
    <col min="40" max="40" width="11.421875" style="31" customWidth="1"/>
    <col min="41" max="41" width="11.00390625" style="31" customWidth="1"/>
    <col min="42" max="42" width="11.140625" style="31" customWidth="1"/>
    <col min="43" max="44" width="9.140625" style="31" customWidth="1"/>
    <col min="45" max="16384" width="9.140625" style="4" customWidth="1"/>
  </cols>
  <sheetData>
    <row r="1" spans="1:5" ht="15.75" hidden="1">
      <c r="A1" s="1" t="s">
        <v>0</v>
      </c>
      <c r="E1" s="18" t="s">
        <v>9</v>
      </c>
    </row>
    <row r="2" spans="1:5" ht="15.75" hidden="1">
      <c r="A2" s="1" t="s">
        <v>1</v>
      </c>
      <c r="E2" s="18" t="s">
        <v>11</v>
      </c>
    </row>
    <row r="3" spans="1:5" ht="15.75" hidden="1">
      <c r="A3" s="1" t="s">
        <v>2</v>
      </c>
      <c r="E3" s="18" t="s">
        <v>10</v>
      </c>
    </row>
    <row r="4" ht="15.75" hidden="1">
      <c r="A4" s="1" t="s">
        <v>3</v>
      </c>
    </row>
    <row r="5" ht="15" hidden="1"/>
    <row r="6" spans="1:5" ht="112.5" hidden="1">
      <c r="A6" s="2" t="s">
        <v>12</v>
      </c>
      <c r="B6" s="3"/>
      <c r="C6" s="3"/>
      <c r="D6" s="3"/>
      <c r="E6" s="20"/>
    </row>
    <row r="7" spans="1:5" ht="15" hidden="1">
      <c r="A7" s="3" t="s">
        <v>53</v>
      </c>
      <c r="B7" s="3"/>
      <c r="C7" s="3"/>
      <c r="D7" s="3"/>
      <c r="E7" s="21"/>
    </row>
    <row r="8" spans="1:6" ht="15.75" customHeight="1">
      <c r="A8" s="60" t="s">
        <v>0</v>
      </c>
      <c r="B8" s="61"/>
      <c r="C8" s="52"/>
      <c r="D8" s="53"/>
      <c r="E8" s="62" t="s">
        <v>9</v>
      </c>
      <c r="F8" s="63"/>
    </row>
    <row r="9" spans="1:6" ht="15">
      <c r="A9" s="61" t="s">
        <v>83</v>
      </c>
      <c r="B9" s="61"/>
      <c r="C9" s="52"/>
      <c r="D9" s="64" t="s">
        <v>114</v>
      </c>
      <c r="E9" s="63"/>
      <c r="F9" s="63"/>
    </row>
    <row r="10" spans="1:6" ht="15">
      <c r="A10" s="61" t="s">
        <v>84</v>
      </c>
      <c r="B10" s="61"/>
      <c r="C10" s="52"/>
      <c r="D10" s="64" t="s">
        <v>119</v>
      </c>
      <c r="E10" s="63"/>
      <c r="F10" s="63"/>
    </row>
    <row r="11" spans="1:5" ht="15">
      <c r="A11" s="61" t="s">
        <v>2</v>
      </c>
      <c r="B11" s="61"/>
      <c r="C11" s="52"/>
      <c r="D11" s="52"/>
      <c r="E11" s="21"/>
    </row>
    <row r="12" spans="1:5" ht="15" customHeight="1">
      <c r="A12" s="61" t="s">
        <v>129</v>
      </c>
      <c r="B12" s="61"/>
      <c r="C12" s="52"/>
      <c r="D12" s="52"/>
      <c r="E12" s="21"/>
    </row>
    <row r="13" spans="1:5" ht="15">
      <c r="A13" s="54"/>
      <c r="B13" s="54"/>
      <c r="C13" s="52"/>
      <c r="D13" s="52"/>
      <c r="E13" s="21"/>
    </row>
    <row r="14" spans="1:6" ht="15.75">
      <c r="A14" s="67" t="s">
        <v>86</v>
      </c>
      <c r="B14" s="67"/>
      <c r="C14" s="67"/>
      <c r="D14" s="67"/>
      <c r="E14" s="67"/>
      <c r="F14" s="67"/>
    </row>
    <row r="15" spans="1:6" ht="15.75">
      <c r="A15" s="67" t="s">
        <v>87</v>
      </c>
      <c r="B15" s="67"/>
      <c r="C15" s="67"/>
      <c r="D15" s="67"/>
      <c r="E15" s="67"/>
      <c r="F15" s="67"/>
    </row>
    <row r="16" spans="1:6" ht="15.75">
      <c r="A16" s="67" t="s">
        <v>88</v>
      </c>
      <c r="B16" s="67"/>
      <c r="C16" s="67"/>
      <c r="D16" s="67"/>
      <c r="E16" s="67"/>
      <c r="F16" s="67"/>
    </row>
    <row r="17" spans="1:6" ht="15">
      <c r="A17" s="80" t="s">
        <v>107</v>
      </c>
      <c r="B17" s="81"/>
      <c r="C17" s="81"/>
      <c r="D17" s="81"/>
      <c r="E17" s="81"/>
      <c r="F17" s="81"/>
    </row>
    <row r="18" spans="1:5" ht="15">
      <c r="A18" s="3"/>
      <c r="B18" s="3"/>
      <c r="C18" s="3"/>
      <c r="D18" s="3"/>
      <c r="E18" s="55"/>
    </row>
    <row r="19" spans="1:9" ht="28.5">
      <c r="A19" s="10" t="s">
        <v>47</v>
      </c>
      <c r="B19" s="3"/>
      <c r="C19" s="3"/>
      <c r="D19" s="3"/>
      <c r="E19" s="48"/>
      <c r="H19" s="51">
        <v>3548.8</v>
      </c>
      <c r="I19" s="31">
        <v>77549.72</v>
      </c>
    </row>
    <row r="20" ht="15">
      <c r="D20" s="16"/>
    </row>
    <row r="21" spans="1:42" ht="42" customHeight="1">
      <c r="A21" s="74" t="s">
        <v>8</v>
      </c>
      <c r="B21" s="74" t="s">
        <v>4</v>
      </c>
      <c r="C21" s="28" t="s">
        <v>5</v>
      </c>
      <c r="D21" s="75" t="s">
        <v>6</v>
      </c>
      <c r="E21" s="77" t="s">
        <v>7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3"/>
    </row>
    <row r="22" spans="1:42" ht="14.25" customHeight="1">
      <c r="A22" s="74"/>
      <c r="B22" s="74"/>
      <c r="C22" s="28"/>
      <c r="D22" s="76"/>
      <c r="E22" s="77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6"/>
    </row>
    <row r="23" spans="1:44" s="11" customFormat="1" ht="51">
      <c r="A23" s="23">
        <v>1</v>
      </c>
      <c r="B23" s="24" t="s">
        <v>13</v>
      </c>
      <c r="C23" s="25"/>
      <c r="D23" s="44">
        <f>D24+D25+D54+D55</f>
        <v>1668713.8832944853</v>
      </c>
      <c r="E23" s="50">
        <f>E24+E25+E54+E55</f>
        <v>39.18493301243812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6"/>
      <c r="AQ23" s="38"/>
      <c r="AR23" s="38"/>
    </row>
    <row r="24" spans="1:44" ht="51.75" customHeight="1">
      <c r="A24" s="8">
        <v>2</v>
      </c>
      <c r="B24" s="5" t="s">
        <v>45</v>
      </c>
      <c r="C24" s="13" t="s">
        <v>54</v>
      </c>
      <c r="D24" s="45">
        <f>1905742/77549.72*3548.8</f>
        <v>87209.82112636899</v>
      </c>
      <c r="E24" s="26">
        <f>D24/H19/12</f>
        <v>2.0478711378111143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6"/>
      <c r="AQ24" s="40"/>
      <c r="AR24" s="40"/>
    </row>
    <row r="25" spans="1:44" ht="25.5">
      <c r="A25" s="8">
        <v>3</v>
      </c>
      <c r="B25" s="5" t="s">
        <v>29</v>
      </c>
      <c r="C25" s="13"/>
      <c r="D25" s="45">
        <f>D26+D27+D28+D29+D30+D31+D32+D33+D34+D35+D36+D37+D38+D39+D40+D41+D42+D43+D44+D45+D46+D47+D48+D49+D50+D51+D52+D53+D54+D55+D56</f>
        <v>1581504.0621681162</v>
      </c>
      <c r="E25" s="26">
        <f>SUM(E26:E56)</f>
        <v>37.13706187462701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0"/>
      <c r="AR25" s="40"/>
    </row>
    <row r="26" spans="1:44" ht="25.5">
      <c r="A26" s="9">
        <v>3.1</v>
      </c>
      <c r="B26" s="5" t="s">
        <v>14</v>
      </c>
      <c r="C26" s="13"/>
      <c r="D26" s="46"/>
      <c r="E26" s="27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6"/>
      <c r="AQ26" s="40"/>
      <c r="AR26" s="40"/>
    </row>
    <row r="27" spans="1:44" ht="24">
      <c r="A27" s="6">
        <v>3.2</v>
      </c>
      <c r="B27" s="5" t="s">
        <v>15</v>
      </c>
      <c r="C27" s="13" t="s">
        <v>57</v>
      </c>
      <c r="D27" s="46">
        <f>353626/77549.72*3548.8</f>
        <v>16182.494905204041</v>
      </c>
      <c r="E27" s="27">
        <f>D27/H19/12</f>
        <v>0.3799992228641616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36"/>
      <c r="AQ27" s="40"/>
      <c r="AR27" s="40"/>
    </row>
    <row r="28" spans="1:44" ht="25.5">
      <c r="A28" s="9">
        <v>3.3</v>
      </c>
      <c r="B28" s="5" t="s">
        <v>16</v>
      </c>
      <c r="C28" s="13" t="s">
        <v>59</v>
      </c>
      <c r="D28" s="46">
        <f>158201/77549.72*3548.8</f>
        <v>7239.532377421865</v>
      </c>
      <c r="E28" s="27">
        <f>D28/H19/12</f>
        <v>0.1699995392203436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36"/>
      <c r="AQ28" s="40"/>
      <c r="AR28" s="40"/>
    </row>
    <row r="29" spans="1:44" ht="34.5" customHeight="1">
      <c r="A29" s="6" t="s">
        <v>68</v>
      </c>
      <c r="B29" s="5" t="s">
        <v>17</v>
      </c>
      <c r="C29" s="13" t="s">
        <v>56</v>
      </c>
      <c r="D29" s="46"/>
      <c r="E29" s="27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6"/>
      <c r="AQ29" s="40"/>
      <c r="AR29" s="40"/>
    </row>
    <row r="30" spans="1:44" ht="34.5" customHeight="1">
      <c r="A30" s="6" t="s">
        <v>69</v>
      </c>
      <c r="B30" s="5" t="s">
        <v>70</v>
      </c>
      <c r="C30" s="13"/>
      <c r="D30" s="46"/>
      <c r="E30" s="27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6"/>
      <c r="AQ30" s="40"/>
      <c r="AR30" s="40"/>
    </row>
    <row r="31" spans="1:44" ht="41.25" customHeight="1">
      <c r="A31" s="6" t="s">
        <v>71</v>
      </c>
      <c r="B31" s="5" t="s">
        <v>72</v>
      </c>
      <c r="C31" s="13"/>
      <c r="D31" s="46"/>
      <c r="E31" s="27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6"/>
      <c r="AQ31" s="40"/>
      <c r="AR31" s="40"/>
    </row>
    <row r="32" spans="1:44" ht="25.5">
      <c r="A32" s="9">
        <v>3.7</v>
      </c>
      <c r="B32" s="5" t="s">
        <v>18</v>
      </c>
      <c r="C32" s="13" t="s">
        <v>57</v>
      </c>
      <c r="D32" s="46">
        <f>2345097/77549.72*3548.8</f>
        <v>107315.41304855775</v>
      </c>
      <c r="E32" s="27">
        <f>D32/H19/12</f>
        <v>2.5199929799875487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36"/>
      <c r="AQ32" s="40"/>
      <c r="AR32" s="40"/>
    </row>
    <row r="33" spans="1:44" ht="25.5">
      <c r="A33" s="6">
        <v>3.8</v>
      </c>
      <c r="B33" s="5" t="s">
        <v>64</v>
      </c>
      <c r="C33" s="13" t="s">
        <v>57</v>
      </c>
      <c r="D33" s="46">
        <f>651416/77549.72*3548.8</f>
        <v>29809.844584867617</v>
      </c>
      <c r="E33" s="27">
        <f>D33/H19/12</f>
        <v>0.6999982290931116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36"/>
      <c r="AQ33" s="40"/>
      <c r="AR33" s="40"/>
    </row>
    <row r="34" spans="1:44" ht="25.5">
      <c r="A34" s="9">
        <v>3.9</v>
      </c>
      <c r="B34" s="5" t="s">
        <v>19</v>
      </c>
      <c r="C34" s="13" t="s">
        <v>57</v>
      </c>
      <c r="D34" s="46">
        <f>697946/77549.72*3548.8</f>
        <v>31939.132272818006</v>
      </c>
      <c r="E34" s="27">
        <f>D34/H19/12</f>
        <v>0.7499984096224547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36"/>
      <c r="AQ34" s="40"/>
      <c r="AR34" s="40"/>
    </row>
    <row r="35" spans="1:44" ht="25.5">
      <c r="A35" s="6" t="s">
        <v>30</v>
      </c>
      <c r="B35" s="5" t="s">
        <v>65</v>
      </c>
      <c r="C35" s="13" t="s">
        <v>57</v>
      </c>
      <c r="D35" s="46"/>
      <c r="E35" s="27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36"/>
      <c r="AQ35" s="40"/>
      <c r="AR35" s="40"/>
    </row>
    <row r="36" spans="1:44" ht="25.5">
      <c r="A36" s="6" t="s">
        <v>31</v>
      </c>
      <c r="B36" s="5" t="s">
        <v>66</v>
      </c>
      <c r="C36" s="13"/>
      <c r="D36" s="46"/>
      <c r="E36" s="27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36"/>
      <c r="AQ36" s="40"/>
      <c r="AR36" s="40"/>
    </row>
    <row r="37" spans="1:44" ht="40.5" customHeight="1">
      <c r="A37" s="6" t="s">
        <v>32</v>
      </c>
      <c r="B37" s="5" t="s">
        <v>20</v>
      </c>
      <c r="C37" s="13"/>
      <c r="D37" s="46"/>
      <c r="E37" s="27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36"/>
      <c r="AQ37" s="40"/>
      <c r="AR37" s="40"/>
    </row>
    <row r="38" spans="1:44" ht="51">
      <c r="A38" s="6" t="s">
        <v>33</v>
      </c>
      <c r="B38" s="5" t="s">
        <v>21</v>
      </c>
      <c r="C38" s="13" t="s">
        <v>58</v>
      </c>
      <c r="D38" s="46">
        <f>2373015/77549.72*3548.8</f>
        <v>108592.98566132798</v>
      </c>
      <c r="E38" s="27">
        <f>D38/H19/12</f>
        <v>2.5499930883051545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36"/>
      <c r="AQ38" s="40"/>
      <c r="AR38" s="40"/>
    </row>
    <row r="39" spans="1:44" ht="33" customHeight="1">
      <c r="A39" s="6" t="s">
        <v>34</v>
      </c>
      <c r="B39" s="5" t="s">
        <v>73</v>
      </c>
      <c r="C39" s="13"/>
      <c r="D39" s="46"/>
      <c r="E39" s="27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36"/>
      <c r="AQ39" s="40"/>
      <c r="AR39" s="40"/>
    </row>
    <row r="40" spans="1:44" ht="41.25" customHeight="1">
      <c r="A40" s="6" t="s">
        <v>35</v>
      </c>
      <c r="B40" s="5" t="s">
        <v>22</v>
      </c>
      <c r="C40" s="13"/>
      <c r="D40" s="46"/>
      <c r="E40" s="27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36"/>
      <c r="AQ40" s="40"/>
      <c r="AR40" s="40"/>
    </row>
    <row r="41" spans="1:44" ht="41.25" customHeight="1">
      <c r="A41" s="6" t="s">
        <v>36</v>
      </c>
      <c r="B41" s="5" t="s">
        <v>74</v>
      </c>
      <c r="C41" s="13"/>
      <c r="D41" s="46"/>
      <c r="E41" s="27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36"/>
      <c r="AQ41" s="40"/>
      <c r="AR41" s="40"/>
    </row>
    <row r="42" spans="1:44" ht="40.5" customHeight="1">
      <c r="A42" s="6" t="s">
        <v>37</v>
      </c>
      <c r="B42" s="5" t="s">
        <v>75</v>
      </c>
      <c r="C42" s="13" t="s">
        <v>54</v>
      </c>
      <c r="D42" s="47">
        <f>2696000/77549.72*3548.8</f>
        <v>123373.29909121529</v>
      </c>
      <c r="E42" s="27">
        <f>D42/H19/12</f>
        <v>2.8970661230842185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36"/>
      <c r="AQ42" s="40"/>
      <c r="AR42" s="40"/>
    </row>
    <row r="43" spans="1:44" ht="51">
      <c r="A43" s="6" t="s">
        <v>38</v>
      </c>
      <c r="B43" s="5" t="s">
        <v>67</v>
      </c>
      <c r="C43" s="13"/>
      <c r="D43" s="46"/>
      <c r="E43" s="27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36"/>
      <c r="AQ43" s="40"/>
      <c r="AR43" s="40"/>
    </row>
    <row r="44" spans="1:44" ht="40.5" customHeight="1">
      <c r="A44" s="6" t="s">
        <v>39</v>
      </c>
      <c r="B44" s="5" t="s">
        <v>76</v>
      </c>
      <c r="C44" s="13"/>
      <c r="D44" s="46"/>
      <c r="E44" s="27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36"/>
      <c r="AQ44" s="40"/>
      <c r="AR44" s="40"/>
    </row>
    <row r="45" spans="1:44" ht="39" customHeight="1">
      <c r="A45" s="6" t="s">
        <v>40</v>
      </c>
      <c r="B45" s="5" t="s">
        <v>77</v>
      </c>
      <c r="C45" s="13" t="s">
        <v>54</v>
      </c>
      <c r="D45" s="29">
        <f>1448000/77549.72*3548.8</f>
        <v>66262.8104911275</v>
      </c>
      <c r="E45" s="27">
        <f>D45/H19/12</f>
        <v>1.5559910037930074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36"/>
      <c r="AQ45" s="40"/>
      <c r="AR45" s="40"/>
    </row>
    <row r="46" spans="1:44" ht="39" customHeight="1">
      <c r="A46" s="6" t="s">
        <v>41</v>
      </c>
      <c r="B46" s="5" t="s">
        <v>78</v>
      </c>
      <c r="C46" s="13"/>
      <c r="D46" s="29"/>
      <c r="E46" s="27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36"/>
      <c r="AQ46" s="40"/>
      <c r="AR46" s="40"/>
    </row>
    <row r="47" spans="1:44" ht="25.5">
      <c r="A47" s="6" t="s">
        <v>42</v>
      </c>
      <c r="B47" s="5" t="s">
        <v>62</v>
      </c>
      <c r="C47" s="13" t="s">
        <v>54</v>
      </c>
      <c r="D47" s="46"/>
      <c r="E47" s="27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36"/>
      <c r="AQ47" s="40"/>
      <c r="AR47" s="40"/>
    </row>
    <row r="48" spans="1:44" ht="25.5">
      <c r="A48" s="6" t="s">
        <v>43</v>
      </c>
      <c r="B48" s="7" t="s">
        <v>63</v>
      </c>
      <c r="C48" s="13" t="s">
        <v>54</v>
      </c>
      <c r="D48" s="46">
        <f>13972201/77549.72*3548.8</f>
        <v>639390.4053915346</v>
      </c>
      <c r="E48" s="27">
        <f>D48/H19/12</f>
        <v>15.014239681759433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36"/>
      <c r="AQ48" s="40"/>
      <c r="AR48" s="40"/>
    </row>
    <row r="49" spans="1:44" ht="25.5">
      <c r="A49" s="6" t="s">
        <v>46</v>
      </c>
      <c r="B49" s="5" t="s">
        <v>23</v>
      </c>
      <c r="C49" s="13" t="s">
        <v>60</v>
      </c>
      <c r="D49" s="46">
        <f>465297/77549.72*3548.8</f>
        <v>21292.73959467552</v>
      </c>
      <c r="E49" s="27">
        <f>D49/H19/12</f>
        <v>0.49999858155516225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36"/>
      <c r="AQ49" s="40"/>
      <c r="AR49" s="40"/>
    </row>
    <row r="50" spans="1:44" ht="25.5">
      <c r="A50" s="6" t="s">
        <v>79</v>
      </c>
      <c r="B50" s="5" t="s">
        <v>24</v>
      </c>
      <c r="C50" s="13" t="s">
        <v>61</v>
      </c>
      <c r="D50" s="46">
        <f>5667319/77549.72*3548.8</f>
        <v>259345.6387360264</v>
      </c>
      <c r="E50" s="27">
        <f>D50/H19/12</f>
        <v>6.089984378194187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36"/>
      <c r="AQ50" s="40"/>
      <c r="AR50" s="40"/>
    </row>
    <row r="51" spans="1:44" ht="38.25">
      <c r="A51" s="6" t="s">
        <v>80</v>
      </c>
      <c r="B51" s="5" t="s">
        <v>25</v>
      </c>
      <c r="C51" s="17" t="s">
        <v>55</v>
      </c>
      <c r="D51" s="29">
        <f>2308000/77549.72*3548.8</f>
        <v>105617.79462259825</v>
      </c>
      <c r="E51" s="27">
        <f>D51/H19/12</f>
        <v>2.4801293071507327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36"/>
      <c r="AQ51" s="40"/>
      <c r="AR51" s="40"/>
    </row>
    <row r="52" spans="1:44" ht="25.5">
      <c r="A52" s="6" t="s">
        <v>81</v>
      </c>
      <c r="B52" s="5" t="s">
        <v>26</v>
      </c>
      <c r="C52" s="13" t="s">
        <v>54</v>
      </c>
      <c r="D52" s="29">
        <f>9000/77549.72*3548.8</f>
        <v>411.85448509678696</v>
      </c>
      <c r="E52" s="27">
        <f>D52/H19/12</f>
        <v>0.009671214802580848</v>
      </c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36"/>
      <c r="AQ52" s="40"/>
      <c r="AR52" s="40"/>
    </row>
    <row r="53" spans="1:44" ht="38.25">
      <c r="A53" s="6" t="s">
        <v>82</v>
      </c>
      <c r="B53" s="5" t="s">
        <v>27</v>
      </c>
      <c r="C53" s="14" t="s">
        <v>54</v>
      </c>
      <c r="D53" s="29">
        <f>1414507/77549.72*3548.8</f>
        <v>64730.11690564454</v>
      </c>
      <c r="E53" s="27">
        <f>D53/H19/12</f>
        <v>1.5200001151949143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36"/>
      <c r="AQ53" s="40"/>
      <c r="AR53" s="40"/>
    </row>
    <row r="54" spans="1:44" ht="25.5">
      <c r="A54" s="6" t="s">
        <v>44</v>
      </c>
      <c r="B54" s="5" t="s">
        <v>28</v>
      </c>
      <c r="C54" s="15" t="s">
        <v>54</v>
      </c>
      <c r="D54" s="46"/>
      <c r="E54" s="27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36"/>
      <c r="AQ54" s="40"/>
      <c r="AR54" s="40"/>
    </row>
    <row r="55" spans="1:44" ht="38.25">
      <c r="A55" s="6" t="s">
        <v>48</v>
      </c>
      <c r="B55" s="5" t="s">
        <v>49</v>
      </c>
      <c r="C55" s="13" t="s">
        <v>52</v>
      </c>
      <c r="D55" s="46"/>
      <c r="E55" s="27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36"/>
      <c r="AQ55" s="40"/>
      <c r="AR55" s="40"/>
    </row>
    <row r="56" spans="1:44" ht="38.25">
      <c r="A56" s="6" t="s">
        <v>50</v>
      </c>
      <c r="B56" s="5" t="s">
        <v>51</v>
      </c>
      <c r="C56" s="13" t="s">
        <v>52</v>
      </c>
      <c r="D56" s="46"/>
      <c r="E56" s="27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36"/>
      <c r="AQ56" s="40"/>
      <c r="AR56" s="40"/>
    </row>
    <row r="57" spans="4:5" ht="15">
      <c r="D57" s="12"/>
      <c r="E57" s="22"/>
    </row>
    <row r="58" spans="4:5" ht="15">
      <c r="D58" s="12"/>
      <c r="E58" s="22"/>
    </row>
    <row r="59" spans="4:5" ht="15">
      <c r="D59" s="12"/>
      <c r="E59" s="22"/>
    </row>
    <row r="60" spans="4:5" ht="15">
      <c r="D60" s="12"/>
      <c r="E60" s="22"/>
    </row>
    <row r="61" spans="4:5" ht="15">
      <c r="D61" s="12"/>
      <c r="E61" s="22"/>
    </row>
    <row r="62" spans="4:5" ht="15">
      <c r="D62" s="12"/>
      <c r="E62" s="22"/>
    </row>
    <row r="63" spans="4:5" ht="15">
      <c r="D63" s="12"/>
      <c r="E63" s="22"/>
    </row>
    <row r="64" spans="4:5" ht="15">
      <c r="D64" s="12"/>
      <c r="E64" s="22"/>
    </row>
    <row r="65" spans="4:5" ht="15">
      <c r="D65" s="12"/>
      <c r="E65" s="22"/>
    </row>
    <row r="66" spans="4:5" ht="15">
      <c r="D66" s="12"/>
      <c r="E66" s="22"/>
    </row>
    <row r="67" spans="4:5" ht="15">
      <c r="D67" s="12"/>
      <c r="E67" s="22"/>
    </row>
    <row r="68" spans="4:5" ht="15">
      <c r="D68" s="12"/>
      <c r="E68" s="22"/>
    </row>
    <row r="69" spans="4:5" ht="15">
      <c r="D69" s="12"/>
      <c r="E69" s="22"/>
    </row>
    <row r="70" spans="4:5" ht="15">
      <c r="D70" s="12"/>
      <c r="E70" s="22"/>
    </row>
    <row r="71" spans="4:5" ht="15">
      <c r="D71" s="12"/>
      <c r="E71" s="22"/>
    </row>
    <row r="72" spans="4:5" ht="15">
      <c r="D72" s="12"/>
      <c r="E72" s="22"/>
    </row>
    <row r="73" spans="4:5" ht="15">
      <c r="D73" s="12"/>
      <c r="E73" s="22"/>
    </row>
    <row r="74" spans="4:5" ht="15">
      <c r="D74" s="12"/>
      <c r="E74" s="22"/>
    </row>
    <row r="75" spans="4:5" ht="15">
      <c r="D75" s="12"/>
      <c r="E75" s="22"/>
    </row>
    <row r="76" spans="4:5" ht="15">
      <c r="D76" s="12"/>
      <c r="E76" s="22"/>
    </row>
    <row r="77" spans="4:5" ht="15">
      <c r="D77" s="12"/>
      <c r="E77" s="22"/>
    </row>
    <row r="78" spans="4:5" ht="15">
      <c r="D78" s="12"/>
      <c r="E78" s="22"/>
    </row>
    <row r="79" spans="4:5" ht="15">
      <c r="D79" s="12"/>
      <c r="E79" s="22"/>
    </row>
    <row r="80" spans="4:5" ht="15">
      <c r="D80" s="12"/>
      <c r="E80" s="22"/>
    </row>
    <row r="81" spans="4:5" ht="15">
      <c r="D81" s="12"/>
      <c r="E81" s="22"/>
    </row>
    <row r="82" spans="4:5" ht="15">
      <c r="D82" s="12"/>
      <c r="E82" s="22"/>
    </row>
    <row r="83" spans="4:5" ht="15">
      <c r="D83" s="12"/>
      <c r="E83" s="22"/>
    </row>
    <row r="84" spans="4:5" ht="15">
      <c r="D84" s="12"/>
      <c r="E84" s="22"/>
    </row>
    <row r="85" spans="4:5" ht="15">
      <c r="D85" s="12"/>
      <c r="E85" s="22"/>
    </row>
    <row r="86" spans="4:5" ht="15">
      <c r="D86" s="12"/>
      <c r="E86" s="22"/>
    </row>
    <row r="87" spans="4:5" ht="15">
      <c r="D87" s="12"/>
      <c r="E87" s="22"/>
    </row>
    <row r="88" spans="4:5" ht="15">
      <c r="D88" s="12"/>
      <c r="E88" s="22"/>
    </row>
    <row r="89" spans="4:5" ht="15">
      <c r="D89" s="12"/>
      <c r="E89" s="22"/>
    </row>
    <row r="90" spans="4:5" ht="15">
      <c r="D90" s="12"/>
      <c r="E90" s="22"/>
    </row>
    <row r="91" spans="4:5" ht="15">
      <c r="D91" s="12"/>
      <c r="E91" s="22"/>
    </row>
    <row r="92" spans="4:5" ht="15">
      <c r="D92" s="12"/>
      <c r="E92" s="22"/>
    </row>
    <row r="93" spans="4:5" ht="15">
      <c r="D93" s="12"/>
      <c r="E93" s="22"/>
    </row>
    <row r="94" spans="4:5" ht="15">
      <c r="D94" s="12"/>
      <c r="E94" s="22"/>
    </row>
    <row r="95" spans="4:5" ht="15">
      <c r="D95" s="12"/>
      <c r="E95" s="22"/>
    </row>
    <row r="96" spans="4:5" ht="15">
      <c r="D96" s="12"/>
      <c r="E96" s="22"/>
    </row>
    <row r="97" spans="4:5" ht="15">
      <c r="D97" s="12"/>
      <c r="E97" s="22"/>
    </row>
    <row r="98" spans="4:5" ht="15">
      <c r="D98" s="12"/>
      <c r="E98" s="22"/>
    </row>
    <row r="99" spans="4:5" ht="15">
      <c r="D99" s="12"/>
      <c r="E99" s="22"/>
    </row>
    <row r="100" spans="4:5" ht="15">
      <c r="D100" s="12"/>
      <c r="E100" s="22"/>
    </row>
    <row r="101" spans="4:5" ht="15">
      <c r="D101" s="12"/>
      <c r="E101" s="22"/>
    </row>
    <row r="102" spans="4:5" ht="15">
      <c r="D102" s="12"/>
      <c r="E102" s="22"/>
    </row>
    <row r="103" spans="4:5" ht="15">
      <c r="D103" s="12"/>
      <c r="E103" s="22"/>
    </row>
    <row r="104" spans="4:5" ht="15">
      <c r="D104" s="12"/>
      <c r="E104" s="22"/>
    </row>
    <row r="105" spans="4:5" ht="15">
      <c r="D105" s="12"/>
      <c r="E105" s="22"/>
    </row>
    <row r="106" spans="4:5" ht="15">
      <c r="D106" s="12"/>
      <c r="E106" s="22"/>
    </row>
    <row r="107" spans="4:5" ht="15">
      <c r="D107" s="12"/>
      <c r="E107" s="22"/>
    </row>
    <row r="108" spans="4:5" ht="15">
      <c r="D108" s="12"/>
      <c r="E108" s="22"/>
    </row>
    <row r="109" spans="4:5" ht="15">
      <c r="D109" s="12"/>
      <c r="E109" s="22"/>
    </row>
    <row r="110" spans="4:5" ht="15">
      <c r="D110" s="12"/>
      <c r="E110" s="22"/>
    </row>
    <row r="111" spans="4:5" ht="15">
      <c r="D111" s="12"/>
      <c r="E111" s="22"/>
    </row>
    <row r="112" spans="4:5" ht="15">
      <c r="D112" s="12"/>
      <c r="E112" s="22"/>
    </row>
    <row r="113" spans="4:5" ht="15">
      <c r="D113" s="12"/>
      <c r="E113" s="22"/>
    </row>
    <row r="114" spans="4:5" ht="15">
      <c r="D114" s="12"/>
      <c r="E114" s="22"/>
    </row>
    <row r="115" spans="4:5" ht="15">
      <c r="D115" s="12"/>
      <c r="E115" s="22"/>
    </row>
    <row r="116" spans="4:5" ht="15">
      <c r="D116" s="12"/>
      <c r="E116" s="22"/>
    </row>
    <row r="117" spans="4:5" ht="15">
      <c r="D117" s="12"/>
      <c r="E117" s="22"/>
    </row>
    <row r="118" spans="4:5" ht="15">
      <c r="D118" s="12"/>
      <c r="E118" s="22"/>
    </row>
    <row r="119" spans="4:5" ht="15">
      <c r="D119" s="12"/>
      <c r="E119" s="22"/>
    </row>
    <row r="120" spans="4:5" ht="15">
      <c r="D120" s="12"/>
      <c r="E120" s="22"/>
    </row>
    <row r="121" spans="4:5" ht="15">
      <c r="D121" s="12"/>
      <c r="E121" s="22"/>
    </row>
    <row r="122" spans="4:5" ht="15">
      <c r="D122" s="12"/>
      <c r="E122" s="22"/>
    </row>
    <row r="123" spans="4:5" ht="15">
      <c r="D123" s="12"/>
      <c r="E123" s="22"/>
    </row>
    <row r="124" spans="4:5" ht="15">
      <c r="D124" s="12"/>
      <c r="E124" s="22"/>
    </row>
    <row r="125" spans="4:5" ht="15">
      <c r="D125" s="12"/>
      <c r="E125" s="22"/>
    </row>
    <row r="126" spans="4:5" ht="15">
      <c r="D126" s="12"/>
      <c r="E126" s="22"/>
    </row>
    <row r="127" spans="4:5" ht="15">
      <c r="D127" s="12"/>
      <c r="E127" s="22"/>
    </row>
    <row r="128" spans="4:5" ht="15">
      <c r="D128" s="12"/>
      <c r="E128" s="22"/>
    </row>
    <row r="129" spans="4:5" ht="15">
      <c r="D129" s="12"/>
      <c r="E129" s="22"/>
    </row>
    <row r="130" spans="4:5" ht="15">
      <c r="D130" s="12"/>
      <c r="E130" s="22"/>
    </row>
  </sheetData>
  <sheetProtection/>
  <mergeCells count="16">
    <mergeCell ref="A14:F14"/>
    <mergeCell ref="A15:F15"/>
    <mergeCell ref="A21:A22"/>
    <mergeCell ref="B21:B22"/>
    <mergeCell ref="D21:D22"/>
    <mergeCell ref="E21:E22"/>
    <mergeCell ref="A16:F16"/>
    <mergeCell ref="A17:F17"/>
    <mergeCell ref="A8:B8"/>
    <mergeCell ref="E8:F8"/>
    <mergeCell ref="A9:B9"/>
    <mergeCell ref="D9:F9"/>
    <mergeCell ref="A10:B10"/>
    <mergeCell ref="D10:F10"/>
    <mergeCell ref="A11:B11"/>
    <mergeCell ref="A12:B12"/>
  </mergeCells>
  <printOptions/>
  <pageMargins left="1.1811023622047245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R130"/>
  <sheetViews>
    <sheetView zoomScalePageLayoutView="0" workbookViewId="0" topLeftCell="A8">
      <selection activeCell="A12" sqref="A12:B12"/>
    </sheetView>
  </sheetViews>
  <sheetFormatPr defaultColWidth="9.140625" defaultRowHeight="15"/>
  <cols>
    <col min="1" max="1" width="5.8515625" style="4" customWidth="1"/>
    <col min="2" max="2" width="38.00390625" style="4" customWidth="1"/>
    <col min="3" max="3" width="17.7109375" style="4" hidden="1" customWidth="1"/>
    <col min="4" max="4" width="14.28125" style="4" customWidth="1"/>
    <col min="5" max="5" width="13.7109375" style="19" customWidth="1"/>
    <col min="6" max="6" width="10.140625" style="30" customWidth="1"/>
    <col min="7" max="7" width="10.57421875" style="31" customWidth="1"/>
    <col min="8" max="8" width="10.421875" style="31" customWidth="1"/>
    <col min="9" max="9" width="10.00390625" style="31" customWidth="1"/>
    <col min="10" max="10" width="9.8515625" style="31" customWidth="1"/>
    <col min="11" max="11" width="9.28125" style="31" customWidth="1"/>
    <col min="12" max="14" width="9.8515625" style="31" customWidth="1"/>
    <col min="15" max="23" width="9.8515625" style="31" hidden="1" customWidth="1"/>
    <col min="24" max="39" width="9.8515625" style="31" customWidth="1"/>
    <col min="40" max="40" width="11.421875" style="31" customWidth="1"/>
    <col min="41" max="41" width="11.00390625" style="31" customWidth="1"/>
    <col min="42" max="42" width="11.140625" style="31" customWidth="1"/>
    <col min="43" max="44" width="9.140625" style="31" customWidth="1"/>
    <col min="45" max="16384" width="9.140625" style="4" customWidth="1"/>
  </cols>
  <sheetData>
    <row r="1" spans="1:5" ht="15.75" hidden="1">
      <c r="A1" s="1" t="s">
        <v>0</v>
      </c>
      <c r="E1" s="18" t="s">
        <v>9</v>
      </c>
    </row>
    <row r="2" spans="1:5" ht="15.75" hidden="1">
      <c r="A2" s="1" t="s">
        <v>1</v>
      </c>
      <c r="E2" s="18" t="s">
        <v>11</v>
      </c>
    </row>
    <row r="3" spans="1:5" ht="15.75" hidden="1">
      <c r="A3" s="1" t="s">
        <v>2</v>
      </c>
      <c r="E3" s="18" t="s">
        <v>10</v>
      </c>
    </row>
    <row r="4" ht="15.75" hidden="1">
      <c r="A4" s="1" t="s">
        <v>3</v>
      </c>
    </row>
    <row r="5" ht="15" hidden="1"/>
    <row r="6" spans="1:5" ht="112.5" hidden="1">
      <c r="A6" s="2" t="s">
        <v>12</v>
      </c>
      <c r="B6" s="3"/>
      <c r="C6" s="3"/>
      <c r="D6" s="3"/>
      <c r="E6" s="20"/>
    </row>
    <row r="7" spans="1:5" ht="15" hidden="1">
      <c r="A7" s="3" t="s">
        <v>53</v>
      </c>
      <c r="B7" s="3"/>
      <c r="C7" s="3"/>
      <c r="D7" s="3"/>
      <c r="E7" s="21"/>
    </row>
    <row r="8" spans="1:6" ht="15.75" customHeight="1">
      <c r="A8" s="60" t="s">
        <v>0</v>
      </c>
      <c r="B8" s="61"/>
      <c r="C8" s="52"/>
      <c r="D8" s="53"/>
      <c r="E8" s="62" t="s">
        <v>9</v>
      </c>
      <c r="F8" s="63"/>
    </row>
    <row r="9" spans="1:6" ht="15">
      <c r="A9" s="61" t="s">
        <v>83</v>
      </c>
      <c r="B9" s="61"/>
      <c r="C9" s="52"/>
      <c r="D9" s="64" t="s">
        <v>115</v>
      </c>
      <c r="E9" s="63"/>
      <c r="F9" s="63"/>
    </row>
    <row r="10" spans="1:6" ht="15">
      <c r="A10" s="61" t="s">
        <v>84</v>
      </c>
      <c r="B10" s="61"/>
      <c r="C10" s="52"/>
      <c r="D10" s="64" t="s">
        <v>116</v>
      </c>
      <c r="E10" s="63"/>
      <c r="F10" s="63"/>
    </row>
    <row r="11" spans="1:5" ht="15">
      <c r="A11" s="61" t="s">
        <v>2</v>
      </c>
      <c r="B11" s="61"/>
      <c r="C11" s="52"/>
      <c r="D11" s="52"/>
      <c r="E11" s="21"/>
    </row>
    <row r="12" spans="1:5" ht="15" customHeight="1">
      <c r="A12" s="61" t="s">
        <v>130</v>
      </c>
      <c r="B12" s="61"/>
      <c r="C12" s="52"/>
      <c r="D12" s="52"/>
      <c r="E12" s="21"/>
    </row>
    <row r="13" spans="1:5" ht="15">
      <c r="A13" s="54"/>
      <c r="B13" s="54"/>
      <c r="C13" s="52"/>
      <c r="D13" s="52"/>
      <c r="E13" s="21"/>
    </row>
    <row r="14" spans="1:6" ht="15.75">
      <c r="A14" s="67" t="s">
        <v>86</v>
      </c>
      <c r="B14" s="67"/>
      <c r="C14" s="67"/>
      <c r="D14" s="67"/>
      <c r="E14" s="67"/>
      <c r="F14" s="67"/>
    </row>
    <row r="15" spans="1:6" ht="15.75">
      <c r="A15" s="67" t="s">
        <v>87</v>
      </c>
      <c r="B15" s="67"/>
      <c r="C15" s="67"/>
      <c r="D15" s="67"/>
      <c r="E15" s="67"/>
      <c r="F15" s="67"/>
    </row>
    <row r="16" spans="1:6" ht="15.75">
      <c r="A16" s="67" t="s">
        <v>88</v>
      </c>
      <c r="B16" s="67"/>
      <c r="C16" s="67"/>
      <c r="D16" s="67"/>
      <c r="E16" s="67"/>
      <c r="F16" s="67"/>
    </row>
    <row r="17" spans="1:6" ht="15">
      <c r="A17" s="80" t="s">
        <v>108</v>
      </c>
      <c r="B17" s="81"/>
      <c r="C17" s="81"/>
      <c r="D17" s="81"/>
      <c r="E17" s="81"/>
      <c r="F17" s="81"/>
    </row>
    <row r="18" spans="1:5" ht="15">
      <c r="A18" s="3"/>
      <c r="B18" s="3"/>
      <c r="C18" s="3"/>
      <c r="D18" s="3"/>
      <c r="E18" s="55"/>
    </row>
    <row r="19" spans="1:9" ht="28.5">
      <c r="A19" s="10" t="s">
        <v>47</v>
      </c>
      <c r="B19" s="3"/>
      <c r="C19" s="3"/>
      <c r="D19" s="3"/>
      <c r="E19" s="48"/>
      <c r="H19" s="51">
        <v>3493.4</v>
      </c>
      <c r="I19" s="31">
        <v>77549.72</v>
      </c>
    </row>
    <row r="20" ht="15">
      <c r="D20" s="16"/>
    </row>
    <row r="21" spans="1:42" ht="42" customHeight="1">
      <c r="A21" s="74" t="s">
        <v>8</v>
      </c>
      <c r="B21" s="74" t="s">
        <v>4</v>
      </c>
      <c r="C21" s="28" t="s">
        <v>5</v>
      </c>
      <c r="D21" s="75" t="s">
        <v>6</v>
      </c>
      <c r="E21" s="77" t="s">
        <v>7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3"/>
    </row>
    <row r="22" spans="1:42" ht="14.25" customHeight="1">
      <c r="A22" s="74"/>
      <c r="B22" s="74"/>
      <c r="C22" s="28"/>
      <c r="D22" s="76"/>
      <c r="E22" s="77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6"/>
    </row>
    <row r="23" spans="1:44" s="11" customFormat="1" ht="51">
      <c r="A23" s="23">
        <v>1</v>
      </c>
      <c r="B23" s="24" t="s">
        <v>13</v>
      </c>
      <c r="C23" s="25"/>
      <c r="D23" s="44">
        <f>D24+D25+D54+D55</f>
        <v>1642663.7398278164</v>
      </c>
      <c r="E23" s="50">
        <f>E24+E25+E54+E55</f>
        <v>39.18493301243812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6"/>
      <c r="AQ23" s="38"/>
      <c r="AR23" s="38"/>
    </row>
    <row r="24" spans="1:44" ht="51.75" customHeight="1">
      <c r="A24" s="8">
        <v>2</v>
      </c>
      <c r="B24" s="5" t="s">
        <v>45</v>
      </c>
      <c r="C24" s="13" t="s">
        <v>54</v>
      </c>
      <c r="D24" s="45">
        <f>1905742/77549.72*3493.4</f>
        <v>85848.39639395216</v>
      </c>
      <c r="E24" s="26">
        <f>D24/H19/12</f>
        <v>2.0478711378111143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6"/>
      <c r="AQ24" s="40"/>
      <c r="AR24" s="40"/>
    </row>
    <row r="25" spans="1:44" ht="25.5">
      <c r="A25" s="8">
        <v>3</v>
      </c>
      <c r="B25" s="5" t="s">
        <v>29</v>
      </c>
      <c r="C25" s="13"/>
      <c r="D25" s="45">
        <f>D26+D27+D28+D29+D30+D31+D32+D33+D34+D35+D36+D37+D38+D39+D40+D41+D42+D43+D44+D45+D46+D47+D48+D49+D50+D51+D52+D53+D54+D55+D56</f>
        <v>1556815.3434338642</v>
      </c>
      <c r="E25" s="26">
        <f>SUM(E26:E56)</f>
        <v>37.13706187462701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0"/>
      <c r="AR25" s="40"/>
    </row>
    <row r="26" spans="1:44" ht="25.5">
      <c r="A26" s="9">
        <v>3.1</v>
      </c>
      <c r="B26" s="5" t="s">
        <v>14</v>
      </c>
      <c r="C26" s="13"/>
      <c r="D26" s="46"/>
      <c r="E26" s="27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6"/>
      <c r="AQ26" s="40"/>
      <c r="AR26" s="40"/>
    </row>
    <row r="27" spans="1:44" ht="24">
      <c r="A27" s="6">
        <v>3.2</v>
      </c>
      <c r="B27" s="5" t="s">
        <v>15</v>
      </c>
      <c r="C27" s="13" t="s">
        <v>57</v>
      </c>
      <c r="D27" s="46">
        <f>353626/77549.72*3493.4</f>
        <v>15929.871421843947</v>
      </c>
      <c r="E27" s="27">
        <f>D27/H19/12</f>
        <v>0.3799992228641616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36"/>
      <c r="AQ27" s="40"/>
      <c r="AR27" s="40"/>
    </row>
    <row r="28" spans="1:44" ht="25.5">
      <c r="A28" s="9">
        <v>3.3</v>
      </c>
      <c r="B28" s="5" t="s">
        <v>16</v>
      </c>
      <c r="C28" s="13" t="s">
        <v>59</v>
      </c>
      <c r="D28" s="46">
        <f>158201/77549.72*3493.4</f>
        <v>7126.51668374818</v>
      </c>
      <c r="E28" s="27">
        <f>D28/H19/12</f>
        <v>0.1699995392203436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36"/>
      <c r="AQ28" s="40"/>
      <c r="AR28" s="40"/>
    </row>
    <row r="29" spans="1:44" ht="34.5" customHeight="1">
      <c r="A29" s="6" t="s">
        <v>68</v>
      </c>
      <c r="B29" s="5" t="s">
        <v>17</v>
      </c>
      <c r="C29" s="13" t="s">
        <v>56</v>
      </c>
      <c r="D29" s="46"/>
      <c r="E29" s="27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6"/>
      <c r="AQ29" s="40"/>
      <c r="AR29" s="40"/>
    </row>
    <row r="30" spans="1:44" ht="34.5" customHeight="1">
      <c r="A30" s="6" t="s">
        <v>69</v>
      </c>
      <c r="B30" s="5" t="s">
        <v>70</v>
      </c>
      <c r="C30" s="13"/>
      <c r="D30" s="46"/>
      <c r="E30" s="27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6"/>
      <c r="AQ30" s="40"/>
      <c r="AR30" s="40"/>
    </row>
    <row r="31" spans="1:44" ht="41.25" customHeight="1">
      <c r="A31" s="6" t="s">
        <v>71</v>
      </c>
      <c r="B31" s="5" t="s">
        <v>72</v>
      </c>
      <c r="C31" s="13"/>
      <c r="D31" s="46"/>
      <c r="E31" s="27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6"/>
      <c r="AQ31" s="40"/>
      <c r="AR31" s="40"/>
    </row>
    <row r="32" spans="1:44" ht="25.5">
      <c r="A32" s="9">
        <v>3.7</v>
      </c>
      <c r="B32" s="5" t="s">
        <v>18</v>
      </c>
      <c r="C32" s="13" t="s">
        <v>57</v>
      </c>
      <c r="D32" s="46">
        <f>2345097/77549.72*3493.4</f>
        <v>105640.12171546202</v>
      </c>
      <c r="E32" s="27">
        <f>D32/H19/12</f>
        <v>2.5199929799875487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36"/>
      <c r="AQ32" s="40"/>
      <c r="AR32" s="40"/>
    </row>
    <row r="33" spans="1:44" ht="25.5">
      <c r="A33" s="6">
        <v>3.8</v>
      </c>
      <c r="B33" s="5" t="s">
        <v>64</v>
      </c>
      <c r="C33" s="13" t="s">
        <v>57</v>
      </c>
      <c r="D33" s="46">
        <f>651416/77549.72*3493.4</f>
        <v>29344.485762166514</v>
      </c>
      <c r="E33" s="27">
        <f>D33/H19/12</f>
        <v>0.6999982290931116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36"/>
      <c r="AQ33" s="40"/>
      <c r="AR33" s="40"/>
    </row>
    <row r="34" spans="1:44" ht="25.5">
      <c r="A34" s="9">
        <v>3.9</v>
      </c>
      <c r="B34" s="5" t="s">
        <v>19</v>
      </c>
      <c r="C34" s="13" t="s">
        <v>57</v>
      </c>
      <c r="D34" s="46">
        <f>697946/77549.72*3493.4</f>
        <v>31440.533330100996</v>
      </c>
      <c r="E34" s="27">
        <f>D34/H19/12</f>
        <v>0.7499984096224547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36"/>
      <c r="AQ34" s="40"/>
      <c r="AR34" s="40"/>
    </row>
    <row r="35" spans="1:44" ht="25.5">
      <c r="A35" s="6" t="s">
        <v>30</v>
      </c>
      <c r="B35" s="5" t="s">
        <v>65</v>
      </c>
      <c r="C35" s="13" t="s">
        <v>57</v>
      </c>
      <c r="D35" s="46"/>
      <c r="E35" s="27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36"/>
      <c r="AQ35" s="40"/>
      <c r="AR35" s="40"/>
    </row>
    <row r="36" spans="1:44" ht="25.5">
      <c r="A36" s="6" t="s">
        <v>31</v>
      </c>
      <c r="B36" s="5" t="s">
        <v>66</v>
      </c>
      <c r="C36" s="13"/>
      <c r="D36" s="46"/>
      <c r="E36" s="27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36"/>
      <c r="AQ36" s="40"/>
      <c r="AR36" s="40"/>
    </row>
    <row r="37" spans="1:44" ht="40.5" customHeight="1">
      <c r="A37" s="6" t="s">
        <v>32</v>
      </c>
      <c r="B37" s="5" t="s">
        <v>20</v>
      </c>
      <c r="C37" s="13"/>
      <c r="D37" s="46"/>
      <c r="E37" s="27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36"/>
      <c r="AQ37" s="40"/>
      <c r="AR37" s="40"/>
    </row>
    <row r="38" spans="1:44" ht="51">
      <c r="A38" s="6" t="s">
        <v>33</v>
      </c>
      <c r="B38" s="5" t="s">
        <v>21</v>
      </c>
      <c r="C38" s="13" t="s">
        <v>58</v>
      </c>
      <c r="D38" s="46">
        <f>2373015/77549.72*3493.4</f>
        <v>106897.75025622272</v>
      </c>
      <c r="E38" s="27">
        <f>D38/H19/12</f>
        <v>2.5499930883051545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36"/>
      <c r="AQ38" s="40"/>
      <c r="AR38" s="40"/>
    </row>
    <row r="39" spans="1:44" ht="33" customHeight="1">
      <c r="A39" s="6" t="s">
        <v>34</v>
      </c>
      <c r="B39" s="5" t="s">
        <v>73</v>
      </c>
      <c r="C39" s="13"/>
      <c r="D39" s="46"/>
      <c r="E39" s="27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36"/>
      <c r="AQ39" s="40"/>
      <c r="AR39" s="40"/>
    </row>
    <row r="40" spans="1:44" ht="41.25" customHeight="1">
      <c r="A40" s="6" t="s">
        <v>35</v>
      </c>
      <c r="B40" s="5" t="s">
        <v>22</v>
      </c>
      <c r="C40" s="13"/>
      <c r="D40" s="46"/>
      <c r="E40" s="27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36"/>
      <c r="AQ40" s="40"/>
      <c r="AR40" s="40"/>
    </row>
    <row r="41" spans="1:44" ht="41.25" customHeight="1">
      <c r="A41" s="6" t="s">
        <v>36</v>
      </c>
      <c r="B41" s="5" t="s">
        <v>74</v>
      </c>
      <c r="C41" s="13"/>
      <c r="D41" s="46"/>
      <c r="E41" s="27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36"/>
      <c r="AQ41" s="40"/>
      <c r="AR41" s="40"/>
    </row>
    <row r="42" spans="1:44" ht="40.5" customHeight="1">
      <c r="A42" s="6" t="s">
        <v>37</v>
      </c>
      <c r="B42" s="5" t="s">
        <v>75</v>
      </c>
      <c r="C42" s="13" t="s">
        <v>54</v>
      </c>
      <c r="D42" s="47">
        <f>2696000/77549.72*3493.4</f>
        <v>121447.3295325889</v>
      </c>
      <c r="E42" s="27">
        <f>D42/H19/12</f>
        <v>2.8970661230842185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36"/>
      <c r="AQ42" s="40"/>
      <c r="AR42" s="40"/>
    </row>
    <row r="43" spans="1:44" ht="51">
      <c r="A43" s="6" t="s">
        <v>38</v>
      </c>
      <c r="B43" s="5" t="s">
        <v>67</v>
      </c>
      <c r="C43" s="13"/>
      <c r="D43" s="46"/>
      <c r="E43" s="27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36"/>
      <c r="AQ43" s="40"/>
      <c r="AR43" s="40"/>
    </row>
    <row r="44" spans="1:44" ht="40.5" customHeight="1">
      <c r="A44" s="6" t="s">
        <v>39</v>
      </c>
      <c r="B44" s="5" t="s">
        <v>76</v>
      </c>
      <c r="C44" s="13"/>
      <c r="D44" s="46"/>
      <c r="E44" s="27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36"/>
      <c r="AQ44" s="40"/>
      <c r="AR44" s="40"/>
    </row>
    <row r="45" spans="1:44" ht="39" customHeight="1">
      <c r="A45" s="6" t="s">
        <v>40</v>
      </c>
      <c r="B45" s="5" t="s">
        <v>77</v>
      </c>
      <c r="C45" s="13" t="s">
        <v>54</v>
      </c>
      <c r="D45" s="29">
        <f>1448000/77549.72*3493.4</f>
        <v>65228.387671805904</v>
      </c>
      <c r="E45" s="27">
        <f>D45/H19/12</f>
        <v>1.5559910037930074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36"/>
      <c r="AQ45" s="40"/>
      <c r="AR45" s="40"/>
    </row>
    <row r="46" spans="1:44" ht="39" customHeight="1">
      <c r="A46" s="6" t="s">
        <v>41</v>
      </c>
      <c r="B46" s="5" t="s">
        <v>78</v>
      </c>
      <c r="C46" s="13"/>
      <c r="D46" s="29"/>
      <c r="E46" s="27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36"/>
      <c r="AQ46" s="40"/>
      <c r="AR46" s="40"/>
    </row>
    <row r="47" spans="1:44" ht="25.5">
      <c r="A47" s="6" t="s">
        <v>42</v>
      </c>
      <c r="B47" s="5" t="s">
        <v>62</v>
      </c>
      <c r="C47" s="13" t="s">
        <v>54</v>
      </c>
      <c r="D47" s="46"/>
      <c r="E47" s="27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36"/>
      <c r="AQ47" s="40"/>
      <c r="AR47" s="40"/>
    </row>
    <row r="48" spans="1:44" ht="25.5">
      <c r="A48" s="6" t="s">
        <v>43</v>
      </c>
      <c r="B48" s="7" t="s">
        <v>63</v>
      </c>
      <c r="C48" s="13" t="s">
        <v>54</v>
      </c>
      <c r="D48" s="46">
        <f>13972201/77549.72*3493.4</f>
        <v>629408.938851101</v>
      </c>
      <c r="E48" s="27">
        <f>D48/H19/12</f>
        <v>15.014239681759436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36"/>
      <c r="AQ48" s="40"/>
      <c r="AR48" s="40"/>
    </row>
    <row r="49" spans="1:44" ht="25.5">
      <c r="A49" s="6" t="s">
        <v>46</v>
      </c>
      <c r="B49" s="5" t="s">
        <v>23</v>
      </c>
      <c r="C49" s="13" t="s">
        <v>60</v>
      </c>
      <c r="D49" s="46">
        <f>465297/77549.72*3493.4</f>
        <v>20960.34053765765</v>
      </c>
      <c r="E49" s="27">
        <f>D49/H19/12</f>
        <v>0.49999858155516225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36"/>
      <c r="AQ49" s="40"/>
      <c r="AR49" s="40"/>
    </row>
    <row r="50" spans="1:44" ht="25.5">
      <c r="A50" s="6" t="s">
        <v>79</v>
      </c>
      <c r="B50" s="5" t="s">
        <v>24</v>
      </c>
      <c r="C50" s="13" t="s">
        <v>61</v>
      </c>
      <c r="D50" s="46">
        <f>5667319/77549.72*3493.4</f>
        <v>255297.0171214029</v>
      </c>
      <c r="E50" s="27">
        <f>D50/H19/12</f>
        <v>6.089984378194187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36"/>
      <c r="AQ50" s="40"/>
      <c r="AR50" s="40"/>
    </row>
    <row r="51" spans="1:44" ht="38.25">
      <c r="A51" s="6" t="s">
        <v>80</v>
      </c>
      <c r="B51" s="5" t="s">
        <v>25</v>
      </c>
      <c r="C51" s="17" t="s">
        <v>55</v>
      </c>
      <c r="D51" s="29">
        <f>2308000/77549.72*3493.4</f>
        <v>103969.00465920444</v>
      </c>
      <c r="E51" s="27">
        <f>D51/H19/12</f>
        <v>2.4801293071507327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36"/>
      <c r="AQ51" s="40"/>
      <c r="AR51" s="40"/>
    </row>
    <row r="52" spans="1:44" ht="25.5">
      <c r="A52" s="6" t="s">
        <v>81</v>
      </c>
      <c r="B52" s="5" t="s">
        <v>26</v>
      </c>
      <c r="C52" s="13" t="s">
        <v>54</v>
      </c>
      <c r="D52" s="29">
        <f>9000/77549.72*3493.4</f>
        <v>405.4250614960312</v>
      </c>
      <c r="E52" s="27">
        <f>D52/H19/12</f>
        <v>0.009671214802580848</v>
      </c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36"/>
      <c r="AQ52" s="40"/>
      <c r="AR52" s="40"/>
    </row>
    <row r="53" spans="1:44" ht="38.25">
      <c r="A53" s="6" t="s">
        <v>82</v>
      </c>
      <c r="B53" s="5" t="s">
        <v>27</v>
      </c>
      <c r="C53" s="14" t="s">
        <v>54</v>
      </c>
      <c r="D53" s="29">
        <f>1414507/77549.72*3493.4</f>
        <v>63719.62082906296</v>
      </c>
      <c r="E53" s="27">
        <f>D53/H19/12</f>
        <v>1.5200001151949143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36"/>
      <c r="AQ53" s="40"/>
      <c r="AR53" s="40"/>
    </row>
    <row r="54" spans="1:44" ht="25.5">
      <c r="A54" s="6" t="s">
        <v>44</v>
      </c>
      <c r="B54" s="5" t="s">
        <v>28</v>
      </c>
      <c r="C54" s="15" t="s">
        <v>54</v>
      </c>
      <c r="D54" s="46"/>
      <c r="E54" s="27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36"/>
      <c r="AQ54" s="40"/>
      <c r="AR54" s="40"/>
    </row>
    <row r="55" spans="1:44" ht="38.25">
      <c r="A55" s="6" t="s">
        <v>48</v>
      </c>
      <c r="B55" s="5" t="s">
        <v>49</v>
      </c>
      <c r="C55" s="13" t="s">
        <v>52</v>
      </c>
      <c r="D55" s="46"/>
      <c r="E55" s="27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36"/>
      <c r="AQ55" s="40"/>
      <c r="AR55" s="40"/>
    </row>
    <row r="56" spans="1:44" ht="38.25">
      <c r="A56" s="6" t="s">
        <v>50</v>
      </c>
      <c r="B56" s="5" t="s">
        <v>51</v>
      </c>
      <c r="C56" s="13" t="s">
        <v>52</v>
      </c>
      <c r="D56" s="46"/>
      <c r="E56" s="27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36"/>
      <c r="AQ56" s="40"/>
      <c r="AR56" s="40"/>
    </row>
    <row r="57" spans="4:5" ht="15">
      <c r="D57" s="12"/>
      <c r="E57" s="22"/>
    </row>
    <row r="58" spans="4:5" ht="15">
      <c r="D58" s="12"/>
      <c r="E58" s="22"/>
    </row>
    <row r="59" spans="4:5" ht="15">
      <c r="D59" s="12"/>
      <c r="E59" s="22"/>
    </row>
    <row r="60" spans="4:5" ht="15">
      <c r="D60" s="12"/>
      <c r="E60" s="22"/>
    </row>
    <row r="61" spans="4:5" ht="15">
      <c r="D61" s="12"/>
      <c r="E61" s="22"/>
    </row>
    <row r="62" spans="4:5" ht="15">
      <c r="D62" s="12"/>
      <c r="E62" s="22"/>
    </row>
    <row r="63" spans="4:5" ht="15">
      <c r="D63" s="12"/>
      <c r="E63" s="22"/>
    </row>
    <row r="64" spans="4:5" ht="15">
      <c r="D64" s="12"/>
      <c r="E64" s="22"/>
    </row>
    <row r="65" spans="4:5" ht="15">
      <c r="D65" s="12"/>
      <c r="E65" s="22"/>
    </row>
    <row r="66" spans="4:5" ht="15">
      <c r="D66" s="12"/>
      <c r="E66" s="22"/>
    </row>
    <row r="67" spans="4:5" ht="15">
      <c r="D67" s="12"/>
      <c r="E67" s="22"/>
    </row>
    <row r="68" spans="4:5" ht="15">
      <c r="D68" s="12"/>
      <c r="E68" s="22"/>
    </row>
    <row r="69" spans="4:5" ht="15">
      <c r="D69" s="12"/>
      <c r="E69" s="22"/>
    </row>
    <row r="70" spans="4:5" ht="15">
      <c r="D70" s="12"/>
      <c r="E70" s="22"/>
    </row>
    <row r="71" spans="4:5" ht="15">
      <c r="D71" s="12"/>
      <c r="E71" s="22"/>
    </row>
    <row r="72" spans="4:5" ht="15">
      <c r="D72" s="12"/>
      <c r="E72" s="22"/>
    </row>
    <row r="73" spans="4:5" ht="15">
      <c r="D73" s="12"/>
      <c r="E73" s="22"/>
    </row>
    <row r="74" spans="4:5" ht="15">
      <c r="D74" s="12"/>
      <c r="E74" s="22"/>
    </row>
    <row r="75" spans="4:5" ht="15">
      <c r="D75" s="12"/>
      <c r="E75" s="22"/>
    </row>
    <row r="76" spans="4:5" ht="15">
      <c r="D76" s="12"/>
      <c r="E76" s="22"/>
    </row>
    <row r="77" spans="4:5" ht="15">
      <c r="D77" s="12"/>
      <c r="E77" s="22"/>
    </row>
    <row r="78" spans="4:5" ht="15">
      <c r="D78" s="12"/>
      <c r="E78" s="22"/>
    </row>
    <row r="79" spans="4:5" ht="15">
      <c r="D79" s="12"/>
      <c r="E79" s="22"/>
    </row>
    <row r="80" spans="4:5" ht="15">
      <c r="D80" s="12"/>
      <c r="E80" s="22"/>
    </row>
    <row r="81" spans="4:5" ht="15">
      <c r="D81" s="12"/>
      <c r="E81" s="22"/>
    </row>
    <row r="82" spans="4:5" ht="15">
      <c r="D82" s="12"/>
      <c r="E82" s="22"/>
    </row>
    <row r="83" spans="4:5" ht="15">
      <c r="D83" s="12"/>
      <c r="E83" s="22"/>
    </row>
    <row r="84" spans="4:5" ht="15">
      <c r="D84" s="12"/>
      <c r="E84" s="22"/>
    </row>
    <row r="85" spans="4:5" ht="15">
      <c r="D85" s="12"/>
      <c r="E85" s="22"/>
    </row>
    <row r="86" spans="4:5" ht="15">
      <c r="D86" s="12"/>
      <c r="E86" s="22"/>
    </row>
    <row r="87" spans="4:5" ht="15">
      <c r="D87" s="12"/>
      <c r="E87" s="22"/>
    </row>
    <row r="88" spans="4:5" ht="15">
      <c r="D88" s="12"/>
      <c r="E88" s="22"/>
    </row>
    <row r="89" spans="4:5" ht="15">
      <c r="D89" s="12"/>
      <c r="E89" s="22"/>
    </row>
    <row r="90" spans="4:5" ht="15">
      <c r="D90" s="12"/>
      <c r="E90" s="22"/>
    </row>
    <row r="91" spans="4:5" ht="15">
      <c r="D91" s="12"/>
      <c r="E91" s="22"/>
    </row>
    <row r="92" spans="4:5" ht="15">
      <c r="D92" s="12"/>
      <c r="E92" s="22"/>
    </row>
    <row r="93" spans="4:5" ht="15">
      <c r="D93" s="12"/>
      <c r="E93" s="22"/>
    </row>
    <row r="94" spans="4:5" ht="15">
      <c r="D94" s="12"/>
      <c r="E94" s="22"/>
    </row>
    <row r="95" spans="4:5" ht="15">
      <c r="D95" s="12"/>
      <c r="E95" s="22"/>
    </row>
    <row r="96" spans="4:5" ht="15">
      <c r="D96" s="12"/>
      <c r="E96" s="22"/>
    </row>
    <row r="97" spans="4:5" ht="15">
      <c r="D97" s="12"/>
      <c r="E97" s="22"/>
    </row>
    <row r="98" spans="4:5" ht="15">
      <c r="D98" s="12"/>
      <c r="E98" s="22"/>
    </row>
    <row r="99" spans="4:5" ht="15">
      <c r="D99" s="12"/>
      <c r="E99" s="22"/>
    </row>
    <row r="100" spans="4:5" ht="15">
      <c r="D100" s="12"/>
      <c r="E100" s="22"/>
    </row>
    <row r="101" spans="4:5" ht="15">
      <c r="D101" s="12"/>
      <c r="E101" s="22"/>
    </row>
    <row r="102" spans="4:5" ht="15">
      <c r="D102" s="12"/>
      <c r="E102" s="22"/>
    </row>
    <row r="103" spans="4:5" ht="15">
      <c r="D103" s="12"/>
      <c r="E103" s="22"/>
    </row>
    <row r="104" spans="4:5" ht="15">
      <c r="D104" s="12"/>
      <c r="E104" s="22"/>
    </row>
    <row r="105" spans="4:5" ht="15">
      <c r="D105" s="12"/>
      <c r="E105" s="22"/>
    </row>
    <row r="106" spans="4:5" ht="15">
      <c r="D106" s="12"/>
      <c r="E106" s="22"/>
    </row>
    <row r="107" spans="4:5" ht="15">
      <c r="D107" s="12"/>
      <c r="E107" s="22"/>
    </row>
    <row r="108" spans="4:5" ht="15">
      <c r="D108" s="12"/>
      <c r="E108" s="22"/>
    </row>
    <row r="109" spans="4:5" ht="15">
      <c r="D109" s="12"/>
      <c r="E109" s="22"/>
    </row>
    <row r="110" spans="4:5" ht="15">
      <c r="D110" s="12"/>
      <c r="E110" s="22"/>
    </row>
    <row r="111" spans="4:5" ht="15">
      <c r="D111" s="12"/>
      <c r="E111" s="22"/>
    </row>
    <row r="112" spans="4:5" ht="15">
      <c r="D112" s="12"/>
      <c r="E112" s="22"/>
    </row>
    <row r="113" spans="4:5" ht="15">
      <c r="D113" s="12"/>
      <c r="E113" s="22"/>
    </row>
    <row r="114" spans="4:5" ht="15">
      <c r="D114" s="12"/>
      <c r="E114" s="22"/>
    </row>
    <row r="115" spans="4:5" ht="15">
      <c r="D115" s="12"/>
      <c r="E115" s="22"/>
    </row>
    <row r="116" spans="4:5" ht="15">
      <c r="D116" s="12"/>
      <c r="E116" s="22"/>
    </row>
    <row r="117" spans="4:5" ht="15">
      <c r="D117" s="12"/>
      <c r="E117" s="22"/>
    </row>
    <row r="118" spans="4:5" ht="15">
      <c r="D118" s="12"/>
      <c r="E118" s="22"/>
    </row>
    <row r="119" spans="4:5" ht="15">
      <c r="D119" s="12"/>
      <c r="E119" s="22"/>
    </row>
    <row r="120" spans="4:5" ht="15">
      <c r="D120" s="12"/>
      <c r="E120" s="22"/>
    </row>
    <row r="121" spans="4:5" ht="15">
      <c r="D121" s="12"/>
      <c r="E121" s="22"/>
    </row>
    <row r="122" spans="4:5" ht="15">
      <c r="D122" s="12"/>
      <c r="E122" s="22"/>
    </row>
    <row r="123" spans="4:5" ht="15">
      <c r="D123" s="12"/>
      <c r="E123" s="22"/>
    </row>
    <row r="124" spans="4:5" ht="15">
      <c r="D124" s="12"/>
      <c r="E124" s="22"/>
    </row>
    <row r="125" spans="4:5" ht="15">
      <c r="D125" s="12"/>
      <c r="E125" s="22"/>
    </row>
    <row r="126" spans="4:5" ht="15">
      <c r="D126" s="12"/>
      <c r="E126" s="22"/>
    </row>
    <row r="127" spans="4:5" ht="15">
      <c r="D127" s="12"/>
      <c r="E127" s="22"/>
    </row>
    <row r="128" spans="4:5" ht="15">
      <c r="D128" s="12"/>
      <c r="E128" s="22"/>
    </row>
    <row r="129" spans="4:5" ht="15">
      <c r="D129" s="12"/>
      <c r="E129" s="22"/>
    </row>
    <row r="130" spans="4:5" ht="15">
      <c r="D130" s="12"/>
      <c r="E130" s="22"/>
    </row>
  </sheetData>
  <sheetProtection/>
  <mergeCells count="16">
    <mergeCell ref="A14:F14"/>
    <mergeCell ref="A15:F15"/>
    <mergeCell ref="A21:A22"/>
    <mergeCell ref="B21:B22"/>
    <mergeCell ref="D21:D22"/>
    <mergeCell ref="E21:E22"/>
    <mergeCell ref="A16:F16"/>
    <mergeCell ref="A17:F17"/>
    <mergeCell ref="A8:B8"/>
    <mergeCell ref="E8:F8"/>
    <mergeCell ref="A9:B9"/>
    <mergeCell ref="D9:F9"/>
    <mergeCell ref="A10:B10"/>
    <mergeCell ref="D10:F10"/>
    <mergeCell ref="A11:B11"/>
    <mergeCell ref="A12:B12"/>
  </mergeCells>
  <printOptions/>
  <pageMargins left="1.1811023622047245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R130"/>
  <sheetViews>
    <sheetView zoomScalePageLayoutView="0" workbookViewId="0" topLeftCell="A8">
      <selection activeCell="A12" sqref="A12:B12"/>
    </sheetView>
  </sheetViews>
  <sheetFormatPr defaultColWidth="9.140625" defaultRowHeight="15"/>
  <cols>
    <col min="1" max="1" width="5.8515625" style="4" customWidth="1"/>
    <col min="2" max="2" width="38.00390625" style="4" customWidth="1"/>
    <col min="3" max="3" width="17.7109375" style="4" hidden="1" customWidth="1"/>
    <col min="4" max="4" width="14.28125" style="4" customWidth="1"/>
    <col min="5" max="5" width="13.7109375" style="19" customWidth="1"/>
    <col min="6" max="6" width="10.140625" style="30" customWidth="1"/>
    <col min="7" max="7" width="10.57421875" style="31" customWidth="1"/>
    <col min="8" max="8" width="10.421875" style="31" customWidth="1"/>
    <col min="9" max="9" width="10.00390625" style="31" customWidth="1"/>
    <col min="10" max="10" width="9.8515625" style="31" customWidth="1"/>
    <col min="11" max="11" width="9.28125" style="31" customWidth="1"/>
    <col min="12" max="14" width="9.8515625" style="31" customWidth="1"/>
    <col min="15" max="23" width="9.8515625" style="31" hidden="1" customWidth="1"/>
    <col min="24" max="39" width="9.8515625" style="31" customWidth="1"/>
    <col min="40" max="40" width="11.421875" style="31" customWidth="1"/>
    <col min="41" max="41" width="11.00390625" style="31" customWidth="1"/>
    <col min="42" max="42" width="11.140625" style="31" customWidth="1"/>
    <col min="43" max="44" width="9.140625" style="31" customWidth="1"/>
    <col min="45" max="16384" width="9.140625" style="4" customWidth="1"/>
  </cols>
  <sheetData>
    <row r="1" spans="1:5" ht="15.75" hidden="1">
      <c r="A1" s="1" t="s">
        <v>0</v>
      </c>
      <c r="E1" s="18" t="s">
        <v>9</v>
      </c>
    </row>
    <row r="2" spans="1:5" ht="15.75" hidden="1">
      <c r="A2" s="1" t="s">
        <v>1</v>
      </c>
      <c r="E2" s="18" t="s">
        <v>11</v>
      </c>
    </row>
    <row r="3" spans="1:5" ht="15.75" hidden="1">
      <c r="A3" s="1" t="s">
        <v>2</v>
      </c>
      <c r="E3" s="18" t="s">
        <v>10</v>
      </c>
    </row>
    <row r="4" ht="15.75" hidden="1">
      <c r="A4" s="1" t="s">
        <v>3</v>
      </c>
    </row>
    <row r="5" ht="15" hidden="1"/>
    <row r="6" spans="1:5" ht="112.5" hidden="1">
      <c r="A6" s="2" t="s">
        <v>12</v>
      </c>
      <c r="B6" s="3"/>
      <c r="C6" s="3"/>
      <c r="D6" s="3"/>
      <c r="E6" s="20"/>
    </row>
    <row r="7" spans="1:5" ht="15" hidden="1">
      <c r="A7" s="3" t="s">
        <v>53</v>
      </c>
      <c r="B7" s="3"/>
      <c r="C7" s="3"/>
      <c r="D7" s="3"/>
      <c r="E7" s="21"/>
    </row>
    <row r="8" spans="1:6" ht="15.75" customHeight="1">
      <c r="A8" s="60" t="s">
        <v>0</v>
      </c>
      <c r="B8" s="61"/>
      <c r="C8" s="52"/>
      <c r="D8" s="53"/>
      <c r="E8" s="62" t="s">
        <v>9</v>
      </c>
      <c r="F8" s="63"/>
    </row>
    <row r="9" spans="1:6" ht="15">
      <c r="A9" s="61" t="s">
        <v>83</v>
      </c>
      <c r="B9" s="61"/>
      <c r="C9" s="52"/>
      <c r="D9" s="64" t="s">
        <v>114</v>
      </c>
      <c r="E9" s="63"/>
      <c r="F9" s="63"/>
    </row>
    <row r="10" spans="1:6" ht="15">
      <c r="A10" s="61" t="s">
        <v>84</v>
      </c>
      <c r="B10" s="61"/>
      <c r="C10" s="52"/>
      <c r="D10" s="64" t="s">
        <v>120</v>
      </c>
      <c r="E10" s="63"/>
      <c r="F10" s="63"/>
    </row>
    <row r="11" spans="1:5" ht="15">
      <c r="A11" s="61" t="s">
        <v>2</v>
      </c>
      <c r="B11" s="61"/>
      <c r="C11" s="52"/>
      <c r="D11" s="52"/>
      <c r="E11" s="21"/>
    </row>
    <row r="12" spans="1:5" ht="15" customHeight="1">
      <c r="A12" s="61" t="s">
        <v>131</v>
      </c>
      <c r="B12" s="61"/>
      <c r="C12" s="52"/>
      <c r="D12" s="52"/>
      <c r="E12" s="21"/>
    </row>
    <row r="13" spans="1:5" ht="15">
      <c r="A13" s="54"/>
      <c r="B13" s="54"/>
      <c r="C13" s="52"/>
      <c r="D13" s="52"/>
      <c r="E13" s="21"/>
    </row>
    <row r="14" spans="1:6" ht="15.75">
      <c r="A14" s="67" t="s">
        <v>86</v>
      </c>
      <c r="B14" s="67"/>
      <c r="C14" s="67"/>
      <c r="D14" s="67"/>
      <c r="E14" s="67"/>
      <c r="F14" s="67"/>
    </row>
    <row r="15" spans="1:6" ht="15.75">
      <c r="A15" s="67" t="s">
        <v>87</v>
      </c>
      <c r="B15" s="67"/>
      <c r="C15" s="67"/>
      <c r="D15" s="67"/>
      <c r="E15" s="67"/>
      <c r="F15" s="67"/>
    </row>
    <row r="16" spans="1:6" ht="15.75">
      <c r="A16" s="67" t="s">
        <v>88</v>
      </c>
      <c r="B16" s="67"/>
      <c r="C16" s="67"/>
      <c r="D16" s="67"/>
      <c r="E16" s="67"/>
      <c r="F16" s="67"/>
    </row>
    <row r="17" spans="1:6" ht="15">
      <c r="A17" s="80" t="s">
        <v>109</v>
      </c>
      <c r="B17" s="81"/>
      <c r="C17" s="81"/>
      <c r="D17" s="81"/>
      <c r="E17" s="81"/>
      <c r="F17" s="81"/>
    </row>
    <row r="18" spans="1:5" ht="15">
      <c r="A18" s="3"/>
      <c r="B18" s="3"/>
      <c r="C18" s="3"/>
      <c r="D18" s="3"/>
      <c r="E18" s="55"/>
    </row>
    <row r="19" spans="1:9" ht="28.5">
      <c r="A19" s="10" t="s">
        <v>47</v>
      </c>
      <c r="B19" s="3"/>
      <c r="C19" s="3"/>
      <c r="D19" s="3"/>
      <c r="E19" s="48"/>
      <c r="H19" s="51">
        <v>1787.5</v>
      </c>
      <c r="I19" s="31">
        <v>77549.72</v>
      </c>
    </row>
    <row r="20" ht="15">
      <c r="D20" s="16"/>
    </row>
    <row r="21" spans="1:42" ht="42" customHeight="1">
      <c r="A21" s="74" t="s">
        <v>8</v>
      </c>
      <c r="B21" s="74" t="s">
        <v>4</v>
      </c>
      <c r="C21" s="28" t="s">
        <v>5</v>
      </c>
      <c r="D21" s="75" t="s">
        <v>6</v>
      </c>
      <c r="E21" s="77" t="s">
        <v>7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3"/>
    </row>
    <row r="22" spans="1:42" ht="14.25" customHeight="1">
      <c r="A22" s="74"/>
      <c r="B22" s="74"/>
      <c r="C22" s="28"/>
      <c r="D22" s="76"/>
      <c r="E22" s="77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6"/>
    </row>
    <row r="23" spans="1:44" s="11" customFormat="1" ht="51">
      <c r="A23" s="23">
        <v>1</v>
      </c>
      <c r="B23" s="24" t="s">
        <v>13</v>
      </c>
      <c r="C23" s="25"/>
      <c r="D23" s="44">
        <f>D24+D25+D54+D55</f>
        <v>840516.8120657325</v>
      </c>
      <c r="E23" s="50">
        <f>E24+E25+E54+E55</f>
        <v>39.184932963437404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6"/>
      <c r="AQ23" s="38"/>
      <c r="AR23" s="38"/>
    </row>
    <row r="24" spans="1:44" ht="51.75" customHeight="1">
      <c r="A24" s="8">
        <v>2</v>
      </c>
      <c r="B24" s="5" t="s">
        <v>45</v>
      </c>
      <c r="C24" s="13" t="s">
        <v>54</v>
      </c>
      <c r="D24" s="45">
        <f>1905742/77549.72*1787.5</f>
        <v>43926.8359060484</v>
      </c>
      <c r="E24" s="26">
        <f>D24/H19/12</f>
        <v>2.0478711378111143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6"/>
      <c r="AQ24" s="40"/>
      <c r="AR24" s="40"/>
    </row>
    <row r="25" spans="1:44" ht="25.5">
      <c r="A25" s="8">
        <v>3</v>
      </c>
      <c r="B25" s="5" t="s">
        <v>29</v>
      </c>
      <c r="C25" s="13"/>
      <c r="D25" s="45">
        <f>D26+D27+D28+D29+D30+D31+D32+D33+D34+D35+D36+D37+D38+D39+D40+D41+D42+D43+D44+D45+D46+D47+D48+D49+D50+D51+D52+D53+D54+D55+D56</f>
        <v>796589.9761596841</v>
      </c>
      <c r="E25" s="26">
        <f>SUM(E26:E56)</f>
        <v>37.13706182562629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0"/>
      <c r="AR25" s="40"/>
    </row>
    <row r="26" spans="1:44" ht="25.5">
      <c r="A26" s="9">
        <v>3.1</v>
      </c>
      <c r="B26" s="5" t="s">
        <v>14</v>
      </c>
      <c r="C26" s="13"/>
      <c r="D26" s="46"/>
      <c r="E26" s="27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6"/>
      <c r="AQ26" s="40"/>
      <c r="AR26" s="40"/>
    </row>
    <row r="27" spans="1:44" ht="24">
      <c r="A27" s="6">
        <v>3.2</v>
      </c>
      <c r="B27" s="5" t="s">
        <v>15</v>
      </c>
      <c r="C27" s="13" t="s">
        <v>57</v>
      </c>
      <c r="D27" s="46">
        <f>353626/77549.73*1787.5</f>
        <v>8150.982279370927</v>
      </c>
      <c r="E27" s="27">
        <f>D27/H19/12</f>
        <v>0.3799991738634465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36"/>
      <c r="AQ27" s="40"/>
      <c r="AR27" s="40"/>
    </row>
    <row r="28" spans="1:44" ht="25.5">
      <c r="A28" s="9">
        <v>3.3</v>
      </c>
      <c r="B28" s="5" t="s">
        <v>16</v>
      </c>
      <c r="C28" s="13" t="s">
        <v>59</v>
      </c>
      <c r="D28" s="46">
        <f>158201/77549.72*1787.5</f>
        <v>3646.4901162763704</v>
      </c>
      <c r="E28" s="27">
        <f>D28/H19/12</f>
        <v>0.1699995392203436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36"/>
      <c r="AQ28" s="40"/>
      <c r="AR28" s="40"/>
    </row>
    <row r="29" spans="1:44" ht="34.5" customHeight="1">
      <c r="A29" s="6" t="s">
        <v>68</v>
      </c>
      <c r="B29" s="5" t="s">
        <v>17</v>
      </c>
      <c r="C29" s="13" t="s">
        <v>56</v>
      </c>
      <c r="D29" s="46"/>
      <c r="E29" s="27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6"/>
      <c r="AQ29" s="40"/>
      <c r="AR29" s="40"/>
    </row>
    <row r="30" spans="1:44" ht="34.5" customHeight="1">
      <c r="A30" s="6" t="s">
        <v>69</v>
      </c>
      <c r="B30" s="5" t="s">
        <v>70</v>
      </c>
      <c r="C30" s="13"/>
      <c r="D30" s="46"/>
      <c r="E30" s="27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6"/>
      <c r="AQ30" s="40"/>
      <c r="AR30" s="40"/>
    </row>
    <row r="31" spans="1:44" ht="41.25" customHeight="1">
      <c r="A31" s="6" t="s">
        <v>71</v>
      </c>
      <c r="B31" s="5" t="s">
        <v>72</v>
      </c>
      <c r="C31" s="13"/>
      <c r="D31" s="46"/>
      <c r="E31" s="27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6"/>
      <c r="AQ31" s="40"/>
      <c r="AR31" s="40"/>
    </row>
    <row r="32" spans="1:44" ht="25.5">
      <c r="A32" s="9">
        <v>3.7</v>
      </c>
      <c r="B32" s="5" t="s">
        <v>18</v>
      </c>
      <c r="C32" s="13" t="s">
        <v>57</v>
      </c>
      <c r="D32" s="46">
        <f>2345097/77549.72*1787.5</f>
        <v>54053.84942073291</v>
      </c>
      <c r="E32" s="27">
        <f>D32/H19/12</f>
        <v>2.5199929799875487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36"/>
      <c r="AQ32" s="40"/>
      <c r="AR32" s="40"/>
    </row>
    <row r="33" spans="1:44" ht="25.5">
      <c r="A33" s="6">
        <v>3.8</v>
      </c>
      <c r="B33" s="5" t="s">
        <v>64</v>
      </c>
      <c r="C33" s="13" t="s">
        <v>57</v>
      </c>
      <c r="D33" s="46">
        <f>651416/77549.72*1787.5</f>
        <v>15014.962014047245</v>
      </c>
      <c r="E33" s="27">
        <f>D33/H19/12</f>
        <v>0.6999982290931116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36"/>
      <c r="AQ33" s="40"/>
      <c r="AR33" s="40"/>
    </row>
    <row r="34" spans="1:44" ht="25.5">
      <c r="A34" s="9">
        <v>3.9</v>
      </c>
      <c r="B34" s="5" t="s">
        <v>19</v>
      </c>
      <c r="C34" s="13" t="s">
        <v>57</v>
      </c>
      <c r="D34" s="46">
        <f>697946/77549.72*1787.5</f>
        <v>16087.465886401653</v>
      </c>
      <c r="E34" s="27">
        <f>D34/H19/12</f>
        <v>0.7499984096224547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36"/>
      <c r="AQ34" s="40"/>
      <c r="AR34" s="40"/>
    </row>
    <row r="35" spans="1:44" ht="25.5">
      <c r="A35" s="6" t="s">
        <v>30</v>
      </c>
      <c r="B35" s="5" t="s">
        <v>65</v>
      </c>
      <c r="C35" s="13" t="s">
        <v>57</v>
      </c>
      <c r="D35" s="46"/>
      <c r="E35" s="27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36"/>
      <c r="AQ35" s="40"/>
      <c r="AR35" s="40"/>
    </row>
    <row r="36" spans="1:44" ht="25.5">
      <c r="A36" s="6" t="s">
        <v>31</v>
      </c>
      <c r="B36" s="5" t="s">
        <v>66</v>
      </c>
      <c r="C36" s="13"/>
      <c r="D36" s="46"/>
      <c r="E36" s="27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36"/>
      <c r="AQ36" s="40"/>
      <c r="AR36" s="40"/>
    </row>
    <row r="37" spans="1:44" ht="40.5" customHeight="1">
      <c r="A37" s="6" t="s">
        <v>32</v>
      </c>
      <c r="B37" s="5" t="s">
        <v>20</v>
      </c>
      <c r="C37" s="13"/>
      <c r="D37" s="46"/>
      <c r="E37" s="27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36"/>
      <c r="AQ37" s="40"/>
      <c r="AR37" s="40"/>
    </row>
    <row r="38" spans="1:44" ht="51">
      <c r="A38" s="6" t="s">
        <v>33</v>
      </c>
      <c r="B38" s="5" t="s">
        <v>21</v>
      </c>
      <c r="C38" s="13" t="s">
        <v>58</v>
      </c>
      <c r="D38" s="46">
        <f>2373015/77549.72*1787.5</f>
        <v>54697.35174414556</v>
      </c>
      <c r="E38" s="27">
        <f>D38/H19/12</f>
        <v>2.5499930883051545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36"/>
      <c r="AQ38" s="40"/>
      <c r="AR38" s="40"/>
    </row>
    <row r="39" spans="1:44" ht="33" customHeight="1">
      <c r="A39" s="6" t="s">
        <v>34</v>
      </c>
      <c r="B39" s="5" t="s">
        <v>73</v>
      </c>
      <c r="C39" s="13"/>
      <c r="D39" s="46"/>
      <c r="E39" s="27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36"/>
      <c r="AQ39" s="40"/>
      <c r="AR39" s="40"/>
    </row>
    <row r="40" spans="1:44" ht="41.25" customHeight="1">
      <c r="A40" s="6" t="s">
        <v>35</v>
      </c>
      <c r="B40" s="5" t="s">
        <v>22</v>
      </c>
      <c r="C40" s="13"/>
      <c r="D40" s="46"/>
      <c r="E40" s="27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36"/>
      <c r="AQ40" s="40"/>
      <c r="AR40" s="40"/>
    </row>
    <row r="41" spans="1:44" ht="41.25" customHeight="1">
      <c r="A41" s="6" t="s">
        <v>36</v>
      </c>
      <c r="B41" s="5" t="s">
        <v>74</v>
      </c>
      <c r="C41" s="13"/>
      <c r="D41" s="46"/>
      <c r="E41" s="27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36"/>
      <c r="AQ41" s="40"/>
      <c r="AR41" s="40"/>
    </row>
    <row r="42" spans="1:44" ht="40.5" customHeight="1">
      <c r="A42" s="6" t="s">
        <v>37</v>
      </c>
      <c r="B42" s="5" t="s">
        <v>75</v>
      </c>
      <c r="C42" s="13" t="s">
        <v>54</v>
      </c>
      <c r="D42" s="47">
        <f>2696000/77549.72*1787.5</f>
        <v>62142.06834015648</v>
      </c>
      <c r="E42" s="27">
        <f>D42/H19/12</f>
        <v>2.8970661230842185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36"/>
      <c r="AQ42" s="40"/>
      <c r="AR42" s="40"/>
    </row>
    <row r="43" spans="1:44" ht="51">
      <c r="A43" s="6" t="s">
        <v>38</v>
      </c>
      <c r="B43" s="5" t="s">
        <v>67</v>
      </c>
      <c r="C43" s="13"/>
      <c r="D43" s="46"/>
      <c r="E43" s="27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36"/>
      <c r="AQ43" s="40"/>
      <c r="AR43" s="40"/>
    </row>
    <row r="44" spans="1:44" ht="40.5" customHeight="1">
      <c r="A44" s="6" t="s">
        <v>39</v>
      </c>
      <c r="B44" s="5" t="s">
        <v>76</v>
      </c>
      <c r="C44" s="13"/>
      <c r="D44" s="46"/>
      <c r="E44" s="27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36"/>
      <c r="AQ44" s="40"/>
      <c r="AR44" s="40"/>
    </row>
    <row r="45" spans="1:44" ht="39" customHeight="1">
      <c r="A45" s="6" t="s">
        <v>40</v>
      </c>
      <c r="B45" s="5" t="s">
        <v>77</v>
      </c>
      <c r="C45" s="13" t="s">
        <v>54</v>
      </c>
      <c r="D45" s="29">
        <f>1448000/77549.72*1787.5</f>
        <v>33376.00703136001</v>
      </c>
      <c r="E45" s="27">
        <f>D45/H19/12</f>
        <v>1.5559910037930074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36"/>
      <c r="AQ45" s="40"/>
      <c r="AR45" s="40"/>
    </row>
    <row r="46" spans="1:44" ht="39" customHeight="1">
      <c r="A46" s="6" t="s">
        <v>41</v>
      </c>
      <c r="B46" s="5" t="s">
        <v>78</v>
      </c>
      <c r="C46" s="13"/>
      <c r="D46" s="29"/>
      <c r="E46" s="27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36"/>
      <c r="AQ46" s="40"/>
      <c r="AR46" s="40"/>
    </row>
    <row r="47" spans="1:44" ht="25.5">
      <c r="A47" s="6" t="s">
        <v>42</v>
      </c>
      <c r="B47" s="5" t="s">
        <v>62</v>
      </c>
      <c r="C47" s="13" t="s">
        <v>54</v>
      </c>
      <c r="D47" s="46"/>
      <c r="E47" s="27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36"/>
      <c r="AQ47" s="40"/>
      <c r="AR47" s="40"/>
    </row>
    <row r="48" spans="1:44" ht="25.5">
      <c r="A48" s="6" t="s">
        <v>43</v>
      </c>
      <c r="B48" s="7" t="s">
        <v>63</v>
      </c>
      <c r="C48" s="13" t="s">
        <v>54</v>
      </c>
      <c r="D48" s="46">
        <f>13972201/77549.72*1787.5</f>
        <v>322055.44117373985</v>
      </c>
      <c r="E48" s="27">
        <f>D48/H19/12</f>
        <v>15.014239681759435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36"/>
      <c r="AQ48" s="40"/>
      <c r="AR48" s="40"/>
    </row>
    <row r="49" spans="1:44" ht="25.5">
      <c r="A49" s="6" t="s">
        <v>46</v>
      </c>
      <c r="B49" s="5" t="s">
        <v>23</v>
      </c>
      <c r="C49" s="13" t="s">
        <v>60</v>
      </c>
      <c r="D49" s="46">
        <f>465297/77549.72*1787.5</f>
        <v>10724.96957435823</v>
      </c>
      <c r="E49" s="27">
        <f>D49/H19/12</f>
        <v>0.49999858155516225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36"/>
      <c r="AQ49" s="40"/>
      <c r="AR49" s="40"/>
    </row>
    <row r="50" spans="1:44" ht="25.5">
      <c r="A50" s="6" t="s">
        <v>79</v>
      </c>
      <c r="B50" s="5" t="s">
        <v>24</v>
      </c>
      <c r="C50" s="13" t="s">
        <v>61</v>
      </c>
      <c r="D50" s="46">
        <f>5667319/77549.72*1787.5</f>
        <v>130630.16491226532</v>
      </c>
      <c r="E50" s="27">
        <f>D50/H19/12</f>
        <v>6.089984378194187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36"/>
      <c r="AQ50" s="40"/>
      <c r="AR50" s="40"/>
    </row>
    <row r="51" spans="1:44" ht="38.25">
      <c r="A51" s="6" t="s">
        <v>80</v>
      </c>
      <c r="B51" s="5" t="s">
        <v>25</v>
      </c>
      <c r="C51" s="17" t="s">
        <v>55</v>
      </c>
      <c r="D51" s="29">
        <f>2308000/77549.72*1787.5</f>
        <v>53198.773638383216</v>
      </c>
      <c r="E51" s="27">
        <f>D51/H19/12</f>
        <v>2.4801293071507327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36"/>
      <c r="AQ51" s="40"/>
      <c r="AR51" s="40"/>
    </row>
    <row r="52" spans="1:44" ht="25.5">
      <c r="A52" s="6" t="s">
        <v>81</v>
      </c>
      <c r="B52" s="5" t="s">
        <v>26</v>
      </c>
      <c r="C52" s="13" t="s">
        <v>54</v>
      </c>
      <c r="D52" s="29">
        <f>9000/77549.72*1787.5</f>
        <v>207.4475575153592</v>
      </c>
      <c r="E52" s="27">
        <f>D52/H19/12</f>
        <v>0.009671214802580848</v>
      </c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36"/>
      <c r="AQ52" s="40"/>
      <c r="AR52" s="40"/>
    </row>
    <row r="53" spans="1:44" ht="38.25">
      <c r="A53" s="6" t="s">
        <v>82</v>
      </c>
      <c r="B53" s="5" t="s">
        <v>27</v>
      </c>
      <c r="C53" s="14" t="s">
        <v>54</v>
      </c>
      <c r="D53" s="29">
        <f>1414507/77549.72*1787.5</f>
        <v>32604.00247093091</v>
      </c>
      <c r="E53" s="27">
        <f>D53/H19/12</f>
        <v>1.5200001151949143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36"/>
      <c r="AQ53" s="40"/>
      <c r="AR53" s="40"/>
    </row>
    <row r="54" spans="1:44" ht="25.5">
      <c r="A54" s="6" t="s">
        <v>44</v>
      </c>
      <c r="B54" s="5" t="s">
        <v>28</v>
      </c>
      <c r="C54" s="15" t="s">
        <v>54</v>
      </c>
      <c r="D54" s="46"/>
      <c r="E54" s="27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36"/>
      <c r="AQ54" s="40"/>
      <c r="AR54" s="40"/>
    </row>
    <row r="55" spans="1:44" ht="38.25">
      <c r="A55" s="6" t="s">
        <v>48</v>
      </c>
      <c r="B55" s="5" t="s">
        <v>49</v>
      </c>
      <c r="C55" s="13" t="s">
        <v>52</v>
      </c>
      <c r="D55" s="46"/>
      <c r="E55" s="27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36"/>
      <c r="AQ55" s="40"/>
      <c r="AR55" s="40"/>
    </row>
    <row r="56" spans="1:44" ht="38.25">
      <c r="A56" s="6" t="s">
        <v>50</v>
      </c>
      <c r="B56" s="5" t="s">
        <v>51</v>
      </c>
      <c r="C56" s="13" t="s">
        <v>52</v>
      </c>
      <c r="D56" s="46"/>
      <c r="E56" s="27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36"/>
      <c r="AQ56" s="40"/>
      <c r="AR56" s="40"/>
    </row>
    <row r="57" spans="4:5" ht="15">
      <c r="D57" s="12"/>
      <c r="E57" s="22"/>
    </row>
    <row r="58" spans="4:5" ht="15">
      <c r="D58" s="12"/>
      <c r="E58" s="22"/>
    </row>
    <row r="59" spans="4:5" ht="15">
      <c r="D59" s="12"/>
      <c r="E59" s="22"/>
    </row>
    <row r="60" spans="4:5" ht="15">
      <c r="D60" s="12"/>
      <c r="E60" s="22"/>
    </row>
    <row r="61" spans="4:5" ht="15">
      <c r="D61" s="12"/>
      <c r="E61" s="22"/>
    </row>
    <row r="62" spans="4:5" ht="15">
      <c r="D62" s="12"/>
      <c r="E62" s="22"/>
    </row>
    <row r="63" spans="4:5" ht="15">
      <c r="D63" s="12"/>
      <c r="E63" s="22"/>
    </row>
    <row r="64" spans="4:5" ht="15">
      <c r="D64" s="12"/>
      <c r="E64" s="22"/>
    </row>
    <row r="65" spans="4:5" ht="15">
      <c r="D65" s="12"/>
      <c r="E65" s="22"/>
    </row>
    <row r="66" spans="4:5" ht="15">
      <c r="D66" s="12"/>
      <c r="E66" s="22"/>
    </row>
    <row r="67" spans="4:5" ht="15">
      <c r="D67" s="12"/>
      <c r="E67" s="22"/>
    </row>
    <row r="68" spans="4:5" ht="15">
      <c r="D68" s="12"/>
      <c r="E68" s="22"/>
    </row>
    <row r="69" spans="4:5" ht="15">
      <c r="D69" s="12"/>
      <c r="E69" s="22"/>
    </row>
    <row r="70" spans="4:5" ht="15">
      <c r="D70" s="12"/>
      <c r="E70" s="22"/>
    </row>
    <row r="71" spans="4:5" ht="15">
      <c r="D71" s="12"/>
      <c r="E71" s="22"/>
    </row>
    <row r="72" spans="4:5" ht="15">
      <c r="D72" s="12"/>
      <c r="E72" s="22"/>
    </row>
    <row r="73" spans="4:5" ht="15">
      <c r="D73" s="12"/>
      <c r="E73" s="22"/>
    </row>
    <row r="74" spans="4:5" ht="15">
      <c r="D74" s="12"/>
      <c r="E74" s="22"/>
    </row>
    <row r="75" spans="4:5" ht="15">
      <c r="D75" s="12"/>
      <c r="E75" s="22"/>
    </row>
    <row r="76" spans="4:5" ht="15">
      <c r="D76" s="12"/>
      <c r="E76" s="22"/>
    </row>
    <row r="77" spans="4:5" ht="15">
      <c r="D77" s="12"/>
      <c r="E77" s="22"/>
    </row>
    <row r="78" spans="4:5" ht="15">
      <c r="D78" s="12"/>
      <c r="E78" s="22"/>
    </row>
    <row r="79" spans="4:5" ht="15">
      <c r="D79" s="12"/>
      <c r="E79" s="22"/>
    </row>
    <row r="80" spans="4:5" ht="15">
      <c r="D80" s="12"/>
      <c r="E80" s="22"/>
    </row>
    <row r="81" spans="4:5" ht="15">
      <c r="D81" s="12"/>
      <c r="E81" s="22"/>
    </row>
    <row r="82" spans="4:5" ht="15">
      <c r="D82" s="12"/>
      <c r="E82" s="22"/>
    </row>
    <row r="83" spans="4:5" ht="15">
      <c r="D83" s="12"/>
      <c r="E83" s="22"/>
    </row>
    <row r="84" spans="4:5" ht="15">
      <c r="D84" s="12"/>
      <c r="E84" s="22"/>
    </row>
    <row r="85" spans="4:5" ht="15">
      <c r="D85" s="12"/>
      <c r="E85" s="22"/>
    </row>
    <row r="86" spans="4:5" ht="15">
      <c r="D86" s="12"/>
      <c r="E86" s="22"/>
    </row>
    <row r="87" spans="4:5" ht="15">
      <c r="D87" s="12"/>
      <c r="E87" s="22"/>
    </row>
    <row r="88" spans="4:5" ht="15">
      <c r="D88" s="12"/>
      <c r="E88" s="22"/>
    </row>
    <row r="89" spans="4:5" ht="15">
      <c r="D89" s="12"/>
      <c r="E89" s="22"/>
    </row>
    <row r="90" spans="4:5" ht="15">
      <c r="D90" s="12"/>
      <c r="E90" s="22"/>
    </row>
    <row r="91" spans="4:5" ht="15">
      <c r="D91" s="12"/>
      <c r="E91" s="22"/>
    </row>
    <row r="92" spans="4:5" ht="15">
      <c r="D92" s="12"/>
      <c r="E92" s="22"/>
    </row>
    <row r="93" spans="4:5" ht="15">
      <c r="D93" s="12"/>
      <c r="E93" s="22"/>
    </row>
    <row r="94" spans="4:5" ht="15">
      <c r="D94" s="12"/>
      <c r="E94" s="22"/>
    </row>
    <row r="95" spans="4:5" ht="15">
      <c r="D95" s="12"/>
      <c r="E95" s="22"/>
    </row>
    <row r="96" spans="4:5" ht="15">
      <c r="D96" s="12"/>
      <c r="E96" s="22"/>
    </row>
    <row r="97" spans="4:5" ht="15">
      <c r="D97" s="12"/>
      <c r="E97" s="22"/>
    </row>
    <row r="98" spans="4:5" ht="15">
      <c r="D98" s="12"/>
      <c r="E98" s="22"/>
    </row>
    <row r="99" spans="4:5" ht="15">
      <c r="D99" s="12"/>
      <c r="E99" s="22"/>
    </row>
    <row r="100" spans="4:5" ht="15">
      <c r="D100" s="12"/>
      <c r="E100" s="22"/>
    </row>
    <row r="101" spans="4:5" ht="15">
      <c r="D101" s="12"/>
      <c r="E101" s="22"/>
    </row>
    <row r="102" spans="4:5" ht="15">
      <c r="D102" s="12"/>
      <c r="E102" s="22"/>
    </row>
    <row r="103" spans="4:5" ht="15">
      <c r="D103" s="12"/>
      <c r="E103" s="22"/>
    </row>
    <row r="104" spans="4:5" ht="15">
      <c r="D104" s="12"/>
      <c r="E104" s="22"/>
    </row>
    <row r="105" spans="4:5" ht="15">
      <c r="D105" s="12"/>
      <c r="E105" s="22"/>
    </row>
    <row r="106" spans="4:5" ht="15">
      <c r="D106" s="12"/>
      <c r="E106" s="22"/>
    </row>
    <row r="107" spans="4:5" ht="15">
      <c r="D107" s="12"/>
      <c r="E107" s="22"/>
    </row>
    <row r="108" spans="4:5" ht="15">
      <c r="D108" s="12"/>
      <c r="E108" s="22"/>
    </row>
    <row r="109" spans="4:5" ht="15">
      <c r="D109" s="12"/>
      <c r="E109" s="22"/>
    </row>
    <row r="110" spans="4:5" ht="15">
      <c r="D110" s="12"/>
      <c r="E110" s="22"/>
    </row>
    <row r="111" spans="4:5" ht="15">
      <c r="D111" s="12"/>
      <c r="E111" s="22"/>
    </row>
    <row r="112" spans="4:5" ht="15">
      <c r="D112" s="12"/>
      <c r="E112" s="22"/>
    </row>
    <row r="113" spans="4:5" ht="15">
      <c r="D113" s="12"/>
      <c r="E113" s="22"/>
    </row>
    <row r="114" spans="4:5" ht="15">
      <c r="D114" s="12"/>
      <c r="E114" s="22"/>
    </row>
    <row r="115" spans="4:5" ht="15">
      <c r="D115" s="12"/>
      <c r="E115" s="22"/>
    </row>
    <row r="116" spans="4:5" ht="15">
      <c r="D116" s="12"/>
      <c r="E116" s="22"/>
    </row>
    <row r="117" spans="4:5" ht="15">
      <c r="D117" s="12"/>
      <c r="E117" s="22"/>
    </row>
    <row r="118" spans="4:5" ht="15">
      <c r="D118" s="12"/>
      <c r="E118" s="22"/>
    </row>
    <row r="119" spans="4:5" ht="15">
      <c r="D119" s="12"/>
      <c r="E119" s="22"/>
    </row>
    <row r="120" spans="4:5" ht="15">
      <c r="D120" s="12"/>
      <c r="E120" s="22"/>
    </row>
    <row r="121" spans="4:5" ht="15">
      <c r="D121" s="12"/>
      <c r="E121" s="22"/>
    </row>
    <row r="122" spans="4:5" ht="15">
      <c r="D122" s="12"/>
      <c r="E122" s="22"/>
    </row>
    <row r="123" spans="4:5" ht="15">
      <c r="D123" s="12"/>
      <c r="E123" s="22"/>
    </row>
    <row r="124" spans="4:5" ht="15">
      <c r="D124" s="12"/>
      <c r="E124" s="22"/>
    </row>
    <row r="125" spans="4:5" ht="15">
      <c r="D125" s="12"/>
      <c r="E125" s="22"/>
    </row>
    <row r="126" spans="4:5" ht="15">
      <c r="D126" s="12"/>
      <c r="E126" s="22"/>
    </row>
    <row r="127" spans="4:5" ht="15">
      <c r="D127" s="12"/>
      <c r="E127" s="22"/>
    </row>
    <row r="128" spans="4:5" ht="15">
      <c r="D128" s="12"/>
      <c r="E128" s="22"/>
    </row>
    <row r="129" spans="4:5" ht="15">
      <c r="D129" s="12"/>
      <c r="E129" s="22"/>
    </row>
    <row r="130" spans="4:5" ht="15">
      <c r="D130" s="12"/>
      <c r="E130" s="22"/>
    </row>
  </sheetData>
  <sheetProtection/>
  <mergeCells count="16">
    <mergeCell ref="A14:F14"/>
    <mergeCell ref="A15:F15"/>
    <mergeCell ref="A21:A22"/>
    <mergeCell ref="B21:B22"/>
    <mergeCell ref="D21:D22"/>
    <mergeCell ref="E21:E22"/>
    <mergeCell ref="A16:F16"/>
    <mergeCell ref="A17:F17"/>
    <mergeCell ref="A8:B8"/>
    <mergeCell ref="E8:F8"/>
    <mergeCell ref="A9:B9"/>
    <mergeCell ref="D9:F9"/>
    <mergeCell ref="A10:B10"/>
    <mergeCell ref="D10:F10"/>
    <mergeCell ref="A11:B11"/>
    <mergeCell ref="A12:B12"/>
  </mergeCells>
  <printOptions/>
  <pageMargins left="1.1811023622047245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R130"/>
  <sheetViews>
    <sheetView zoomScalePageLayoutView="0" workbookViewId="0" topLeftCell="A8">
      <selection activeCell="A12" sqref="A12:B12"/>
    </sheetView>
  </sheetViews>
  <sheetFormatPr defaultColWidth="9.140625" defaultRowHeight="15"/>
  <cols>
    <col min="1" max="1" width="5.8515625" style="4" customWidth="1"/>
    <col min="2" max="2" width="38.00390625" style="4" customWidth="1"/>
    <col min="3" max="3" width="17.7109375" style="4" hidden="1" customWidth="1"/>
    <col min="4" max="4" width="14.28125" style="4" customWidth="1"/>
    <col min="5" max="5" width="13.7109375" style="19" customWidth="1"/>
    <col min="6" max="6" width="10.140625" style="30" customWidth="1"/>
    <col min="7" max="7" width="10.57421875" style="31" customWidth="1"/>
    <col min="8" max="8" width="10.421875" style="31" customWidth="1"/>
    <col min="9" max="9" width="10.00390625" style="31" customWidth="1"/>
    <col min="10" max="10" width="9.8515625" style="31" customWidth="1"/>
    <col min="11" max="11" width="9.28125" style="31" customWidth="1"/>
    <col min="12" max="14" width="9.8515625" style="31" customWidth="1"/>
    <col min="15" max="23" width="9.8515625" style="31" hidden="1" customWidth="1"/>
    <col min="24" max="39" width="9.8515625" style="31" customWidth="1"/>
    <col min="40" max="40" width="11.421875" style="31" customWidth="1"/>
    <col min="41" max="41" width="11.00390625" style="31" customWidth="1"/>
    <col min="42" max="42" width="11.140625" style="31" customWidth="1"/>
    <col min="43" max="44" width="9.140625" style="31" customWidth="1"/>
    <col min="45" max="16384" width="9.140625" style="4" customWidth="1"/>
  </cols>
  <sheetData>
    <row r="1" spans="1:5" ht="15.75" hidden="1">
      <c r="A1" s="1" t="s">
        <v>0</v>
      </c>
      <c r="E1" s="18" t="s">
        <v>9</v>
      </c>
    </row>
    <row r="2" spans="1:5" ht="15.75" hidden="1">
      <c r="A2" s="1" t="s">
        <v>1</v>
      </c>
      <c r="E2" s="18" t="s">
        <v>11</v>
      </c>
    </row>
    <row r="3" spans="1:5" ht="15.75" hidden="1">
      <c r="A3" s="1" t="s">
        <v>2</v>
      </c>
      <c r="E3" s="18" t="s">
        <v>10</v>
      </c>
    </row>
    <row r="4" ht="15.75" hidden="1">
      <c r="A4" s="1" t="s">
        <v>3</v>
      </c>
    </row>
    <row r="5" ht="15" hidden="1"/>
    <row r="6" spans="1:5" ht="112.5" hidden="1">
      <c r="A6" s="2" t="s">
        <v>12</v>
      </c>
      <c r="B6" s="3"/>
      <c r="C6" s="3"/>
      <c r="D6" s="3"/>
      <c r="E6" s="20"/>
    </row>
    <row r="7" spans="1:5" ht="15" hidden="1">
      <c r="A7" s="3" t="s">
        <v>53</v>
      </c>
      <c r="B7" s="3"/>
      <c r="C7" s="3"/>
      <c r="D7" s="3"/>
      <c r="E7" s="21"/>
    </row>
    <row r="8" spans="1:6" ht="15.75" customHeight="1">
      <c r="A8" s="60" t="s">
        <v>0</v>
      </c>
      <c r="B8" s="61"/>
      <c r="C8" s="52"/>
      <c r="D8" s="53"/>
      <c r="E8" s="62" t="s">
        <v>9</v>
      </c>
      <c r="F8" s="63"/>
    </row>
    <row r="9" spans="1:6" ht="15">
      <c r="A9" s="61" t="s">
        <v>83</v>
      </c>
      <c r="B9" s="61"/>
      <c r="C9" s="52"/>
      <c r="D9" s="64" t="s">
        <v>114</v>
      </c>
      <c r="E9" s="63"/>
      <c r="F9" s="63"/>
    </row>
    <row r="10" spans="1:6" ht="15">
      <c r="A10" s="61" t="s">
        <v>84</v>
      </c>
      <c r="B10" s="61"/>
      <c r="C10" s="52"/>
      <c r="D10" s="64" t="s">
        <v>118</v>
      </c>
      <c r="E10" s="63"/>
      <c r="F10" s="63"/>
    </row>
    <row r="11" spans="1:5" ht="15">
      <c r="A11" s="61" t="s">
        <v>2</v>
      </c>
      <c r="B11" s="61"/>
      <c r="C11" s="52"/>
      <c r="D11" s="52"/>
      <c r="E11" s="21"/>
    </row>
    <row r="12" spans="1:5" ht="15" customHeight="1">
      <c r="A12" s="61" t="s">
        <v>132</v>
      </c>
      <c r="B12" s="61"/>
      <c r="C12" s="52"/>
      <c r="D12" s="52"/>
      <c r="E12" s="21"/>
    </row>
    <row r="13" spans="1:5" ht="15">
      <c r="A13" s="54"/>
      <c r="B13" s="54"/>
      <c r="C13" s="52"/>
      <c r="D13" s="52"/>
      <c r="E13" s="21"/>
    </row>
    <row r="14" spans="1:6" ht="15.75">
      <c r="A14" s="67" t="s">
        <v>86</v>
      </c>
      <c r="B14" s="67"/>
      <c r="C14" s="67"/>
      <c r="D14" s="67"/>
      <c r="E14" s="67"/>
      <c r="F14" s="67"/>
    </row>
    <row r="15" spans="1:6" ht="15.75">
      <c r="A15" s="67" t="s">
        <v>87</v>
      </c>
      <c r="B15" s="67"/>
      <c r="C15" s="67"/>
      <c r="D15" s="67"/>
      <c r="E15" s="67"/>
      <c r="F15" s="67"/>
    </row>
    <row r="16" spans="1:6" ht="15.75">
      <c r="A16" s="67" t="s">
        <v>88</v>
      </c>
      <c r="B16" s="67"/>
      <c r="C16" s="67"/>
      <c r="D16" s="67"/>
      <c r="E16" s="67"/>
      <c r="F16" s="67"/>
    </row>
    <row r="17" spans="1:6" ht="15">
      <c r="A17" s="80" t="s">
        <v>110</v>
      </c>
      <c r="B17" s="81"/>
      <c r="C17" s="81"/>
      <c r="D17" s="81"/>
      <c r="E17" s="81"/>
      <c r="F17" s="81"/>
    </row>
    <row r="18" spans="1:5" ht="15">
      <c r="A18" s="3"/>
      <c r="B18" s="3"/>
      <c r="C18" s="3"/>
      <c r="D18" s="3"/>
      <c r="E18" s="55"/>
    </row>
    <row r="19" spans="1:9" ht="28.5">
      <c r="A19" s="10" t="s">
        <v>47</v>
      </c>
      <c r="B19" s="3"/>
      <c r="C19" s="3"/>
      <c r="D19" s="3"/>
      <c r="E19" s="48"/>
      <c r="H19" s="51">
        <v>1794.31</v>
      </c>
      <c r="I19" s="31">
        <v>77549.72</v>
      </c>
    </row>
    <row r="20" ht="15">
      <c r="D20" s="16"/>
    </row>
    <row r="21" spans="1:42" ht="42" customHeight="1">
      <c r="A21" s="74" t="s">
        <v>8</v>
      </c>
      <c r="B21" s="74" t="s">
        <v>4</v>
      </c>
      <c r="C21" s="28" t="s">
        <v>5</v>
      </c>
      <c r="D21" s="75" t="s">
        <v>6</v>
      </c>
      <c r="E21" s="77" t="s">
        <v>7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3"/>
    </row>
    <row r="22" spans="1:42" ht="14.25" customHeight="1">
      <c r="A22" s="74"/>
      <c r="B22" s="74"/>
      <c r="C22" s="28"/>
      <c r="D22" s="76"/>
      <c r="E22" s="77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6"/>
    </row>
    <row r="23" spans="1:44" s="11" customFormat="1" ht="51">
      <c r="A23" s="23">
        <v>1</v>
      </c>
      <c r="B23" s="24" t="s">
        <v>13</v>
      </c>
      <c r="C23" s="25"/>
      <c r="D23" s="44">
        <f>D24+D25+D54+D55</f>
        <v>843718.9989564833</v>
      </c>
      <c r="E23" s="50">
        <f>E24+E25+E54+E55</f>
        <v>39.18493269262665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6"/>
      <c r="AQ23" s="38"/>
      <c r="AR23" s="38"/>
    </row>
    <row r="24" spans="1:44" ht="51.75" customHeight="1">
      <c r="A24" s="8">
        <v>2</v>
      </c>
      <c r="B24" s="5" t="s">
        <v>45</v>
      </c>
      <c r="C24" s="13" t="s">
        <v>54</v>
      </c>
      <c r="D24" s="45">
        <f>1905742/77549.72*1794.31</f>
        <v>44094.187935430324</v>
      </c>
      <c r="E24" s="26">
        <f>D24/H19/12</f>
        <v>2.0478711378111143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6"/>
      <c r="AQ24" s="40"/>
      <c r="AR24" s="40"/>
    </row>
    <row r="25" spans="1:44" ht="25.5">
      <c r="A25" s="8">
        <v>3</v>
      </c>
      <c r="B25" s="5" t="s">
        <v>29</v>
      </c>
      <c r="C25" s="13"/>
      <c r="D25" s="45">
        <f>D26+D27+D28+D29+D30+D31+D32+D33+D34+D35+D36+D37+D38+D39+D40+D41+D42+D43+D44+D45+D46+D47+D48+D49+D50+D51+D52+D53+D54+D55+D56</f>
        <v>799624.811021053</v>
      </c>
      <c r="E25" s="26">
        <f>SUM(E26:E56)</f>
        <v>37.13706155481554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0"/>
      <c r="AR25" s="40"/>
    </row>
    <row r="26" spans="1:44" ht="25.5">
      <c r="A26" s="9">
        <v>3.1</v>
      </c>
      <c r="B26" s="5" t="s">
        <v>14</v>
      </c>
      <c r="C26" s="13"/>
      <c r="D26" s="46"/>
      <c r="E26" s="27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6"/>
      <c r="AQ26" s="40"/>
      <c r="AR26" s="40"/>
    </row>
    <row r="27" spans="1:44" ht="24">
      <c r="A27" s="6">
        <v>3.2</v>
      </c>
      <c r="B27" s="5" t="s">
        <v>15</v>
      </c>
      <c r="C27" s="13" t="s">
        <v>57</v>
      </c>
      <c r="D27" s="46">
        <f>353626/77549.72*1794.31</f>
        <v>8182.036866928725</v>
      </c>
      <c r="E27" s="27">
        <f>D27/H19/12</f>
        <v>0.3799992228641616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36"/>
      <c r="AQ27" s="40"/>
      <c r="AR27" s="40"/>
    </row>
    <row r="28" spans="1:44" ht="25.5">
      <c r="A28" s="9">
        <v>3.3</v>
      </c>
      <c r="B28" s="5" t="s">
        <v>16</v>
      </c>
      <c r="C28" s="13" t="s">
        <v>59</v>
      </c>
      <c r="D28" s="46">
        <f>158201/77549.72*1794.31</f>
        <v>3660.382478621457</v>
      </c>
      <c r="E28" s="27">
        <f>D28/H19/12</f>
        <v>0.1699995392203436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36"/>
      <c r="AQ28" s="40"/>
      <c r="AR28" s="40"/>
    </row>
    <row r="29" spans="1:44" ht="34.5" customHeight="1">
      <c r="A29" s="6" t="s">
        <v>68</v>
      </c>
      <c r="B29" s="5" t="s">
        <v>17</v>
      </c>
      <c r="C29" s="13" t="s">
        <v>56</v>
      </c>
      <c r="D29" s="46"/>
      <c r="E29" s="27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6"/>
      <c r="AQ29" s="40"/>
      <c r="AR29" s="40"/>
    </row>
    <row r="30" spans="1:44" ht="34.5" customHeight="1">
      <c r="A30" s="6" t="s">
        <v>69</v>
      </c>
      <c r="B30" s="5" t="s">
        <v>70</v>
      </c>
      <c r="C30" s="13"/>
      <c r="D30" s="46"/>
      <c r="E30" s="27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6"/>
      <c r="AQ30" s="40"/>
      <c r="AR30" s="40"/>
    </row>
    <row r="31" spans="1:44" ht="41.25" customHeight="1">
      <c r="A31" s="6" t="s">
        <v>71</v>
      </c>
      <c r="B31" s="5" t="s">
        <v>72</v>
      </c>
      <c r="C31" s="13"/>
      <c r="D31" s="46"/>
      <c r="E31" s="27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6"/>
      <c r="AQ31" s="40"/>
      <c r="AR31" s="40"/>
    </row>
    <row r="32" spans="1:44" ht="25.5">
      <c r="A32" s="9">
        <v>3.7</v>
      </c>
      <c r="B32" s="5" t="s">
        <v>18</v>
      </c>
      <c r="C32" s="13" t="s">
        <v>57</v>
      </c>
      <c r="D32" s="46">
        <f>2345097/77549.72*1794.31</f>
        <v>54259.783247057494</v>
      </c>
      <c r="E32" s="27">
        <f>D32/H19/12</f>
        <v>2.5199929799875487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36"/>
      <c r="AQ32" s="40"/>
      <c r="AR32" s="40"/>
    </row>
    <row r="33" spans="1:44" ht="25.5">
      <c r="A33" s="6">
        <v>3.8</v>
      </c>
      <c r="B33" s="5" t="s">
        <v>64</v>
      </c>
      <c r="C33" s="13" t="s">
        <v>57</v>
      </c>
      <c r="D33" s="46">
        <f>651416/77549.72*1794.31</f>
        <v>15072.165869328734</v>
      </c>
      <c r="E33" s="27">
        <f>D33/H19/12</f>
        <v>0.6999982290931116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36"/>
      <c r="AQ33" s="40"/>
      <c r="AR33" s="40"/>
    </row>
    <row r="34" spans="1:44" ht="25.5">
      <c r="A34" s="9">
        <v>3.9</v>
      </c>
      <c r="B34" s="5" t="s">
        <v>19</v>
      </c>
      <c r="C34" s="13" t="s">
        <v>57</v>
      </c>
      <c r="D34" s="46">
        <f>697946/77549.72*1794.31</f>
        <v>16148.755756435998</v>
      </c>
      <c r="E34" s="27">
        <f>D34/H19/12</f>
        <v>0.7499984096224547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36"/>
      <c r="AQ34" s="40"/>
      <c r="AR34" s="40"/>
    </row>
    <row r="35" spans="1:44" ht="25.5">
      <c r="A35" s="6" t="s">
        <v>30</v>
      </c>
      <c r="B35" s="5" t="s">
        <v>65</v>
      </c>
      <c r="C35" s="13" t="s">
        <v>57</v>
      </c>
      <c r="D35" s="46"/>
      <c r="E35" s="27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36"/>
      <c r="AQ35" s="40"/>
      <c r="AR35" s="40"/>
    </row>
    <row r="36" spans="1:44" ht="25.5">
      <c r="A36" s="6" t="s">
        <v>31</v>
      </c>
      <c r="B36" s="5" t="s">
        <v>66</v>
      </c>
      <c r="C36" s="13"/>
      <c r="D36" s="46"/>
      <c r="E36" s="27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36"/>
      <c r="AQ36" s="40"/>
      <c r="AR36" s="40"/>
    </row>
    <row r="37" spans="1:44" ht="40.5" customHeight="1">
      <c r="A37" s="6" t="s">
        <v>32</v>
      </c>
      <c r="B37" s="5" t="s">
        <v>20</v>
      </c>
      <c r="C37" s="13"/>
      <c r="D37" s="46"/>
      <c r="E37" s="27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36"/>
      <c r="AQ37" s="40"/>
      <c r="AR37" s="40"/>
    </row>
    <row r="38" spans="1:44" ht="51">
      <c r="A38" s="6" t="s">
        <v>33</v>
      </c>
      <c r="B38" s="5" t="s">
        <v>21</v>
      </c>
      <c r="C38" s="13" t="s">
        <v>58</v>
      </c>
      <c r="D38" s="46">
        <f>2373015/77549.72*1794.31</f>
        <v>54905.737179321855</v>
      </c>
      <c r="E38" s="27">
        <f>D38/H19/12</f>
        <v>2.5499930883051545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36"/>
      <c r="AQ38" s="40"/>
      <c r="AR38" s="40"/>
    </row>
    <row r="39" spans="1:44" ht="33" customHeight="1">
      <c r="A39" s="6" t="s">
        <v>34</v>
      </c>
      <c r="B39" s="5" t="s">
        <v>73</v>
      </c>
      <c r="C39" s="13"/>
      <c r="D39" s="46"/>
      <c r="E39" s="27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36"/>
      <c r="AQ39" s="40"/>
      <c r="AR39" s="40"/>
    </row>
    <row r="40" spans="1:44" ht="41.25" customHeight="1">
      <c r="A40" s="6" t="s">
        <v>35</v>
      </c>
      <c r="B40" s="5" t="s">
        <v>22</v>
      </c>
      <c r="C40" s="13"/>
      <c r="D40" s="46"/>
      <c r="E40" s="27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36"/>
      <c r="AQ40" s="40"/>
      <c r="AR40" s="40"/>
    </row>
    <row r="41" spans="1:44" ht="41.25" customHeight="1">
      <c r="A41" s="6" t="s">
        <v>36</v>
      </c>
      <c r="B41" s="5" t="s">
        <v>74</v>
      </c>
      <c r="C41" s="13"/>
      <c r="D41" s="46"/>
      <c r="E41" s="27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36"/>
      <c r="AQ41" s="40"/>
      <c r="AR41" s="40"/>
    </row>
    <row r="42" spans="1:44" ht="40.5" customHeight="1">
      <c r="A42" s="6" t="s">
        <v>37</v>
      </c>
      <c r="B42" s="5" t="s">
        <v>75</v>
      </c>
      <c r="C42" s="13" t="s">
        <v>54</v>
      </c>
      <c r="D42" s="47">
        <f>2696000/77549.72*1794.31</f>
        <v>62378.81658373492</v>
      </c>
      <c r="E42" s="27">
        <f>D42/H19/12</f>
        <v>2.8970661230842185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36"/>
      <c r="AQ42" s="40"/>
      <c r="AR42" s="40"/>
    </row>
    <row r="43" spans="1:44" ht="51">
      <c r="A43" s="6" t="s">
        <v>38</v>
      </c>
      <c r="B43" s="5" t="s">
        <v>67</v>
      </c>
      <c r="C43" s="13"/>
      <c r="D43" s="46"/>
      <c r="E43" s="27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36"/>
      <c r="AQ43" s="40"/>
      <c r="AR43" s="40"/>
    </row>
    <row r="44" spans="1:44" ht="40.5" customHeight="1">
      <c r="A44" s="6" t="s">
        <v>39</v>
      </c>
      <c r="B44" s="5" t="s">
        <v>76</v>
      </c>
      <c r="C44" s="13"/>
      <c r="D44" s="46"/>
      <c r="E44" s="27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36"/>
      <c r="AQ44" s="40"/>
      <c r="AR44" s="40"/>
    </row>
    <row r="45" spans="1:44" ht="39" customHeight="1">
      <c r="A45" s="6" t="s">
        <v>40</v>
      </c>
      <c r="B45" s="5" t="s">
        <v>77</v>
      </c>
      <c r="C45" s="13" t="s">
        <v>54</v>
      </c>
      <c r="D45" s="29">
        <f>1448000/77549.72*1794.31</f>
        <v>33503.16261618997</v>
      </c>
      <c r="E45" s="27">
        <f>D45/H19/12</f>
        <v>1.5559910037930074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36"/>
      <c r="AQ45" s="40"/>
      <c r="AR45" s="40"/>
    </row>
    <row r="46" spans="1:44" ht="39" customHeight="1">
      <c r="A46" s="6" t="s">
        <v>41</v>
      </c>
      <c r="B46" s="5" t="s">
        <v>78</v>
      </c>
      <c r="C46" s="13"/>
      <c r="D46" s="29"/>
      <c r="E46" s="27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36"/>
      <c r="AQ46" s="40"/>
      <c r="AR46" s="40"/>
    </row>
    <row r="47" spans="1:44" ht="25.5">
      <c r="A47" s="6" t="s">
        <v>42</v>
      </c>
      <c r="B47" s="5" t="s">
        <v>62</v>
      </c>
      <c r="C47" s="13" t="s">
        <v>54</v>
      </c>
      <c r="D47" s="46"/>
      <c r="E47" s="27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36"/>
      <c r="AQ47" s="40"/>
      <c r="AR47" s="40"/>
    </row>
    <row r="48" spans="1:44" ht="25.5">
      <c r="A48" s="6" t="s">
        <v>43</v>
      </c>
      <c r="B48" s="7" t="s">
        <v>63</v>
      </c>
      <c r="C48" s="13" t="s">
        <v>54</v>
      </c>
      <c r="D48" s="46">
        <f>13972201/77549.72*1794.31</f>
        <v>323282.4048405332</v>
      </c>
      <c r="E48" s="27">
        <f>D48/H19/12</f>
        <v>15.014239681759433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36"/>
      <c r="AQ48" s="40"/>
      <c r="AR48" s="40"/>
    </row>
    <row r="49" spans="1:44" ht="25.5">
      <c r="A49" s="6" t="s">
        <v>46</v>
      </c>
      <c r="B49" s="5" t="s">
        <v>23</v>
      </c>
      <c r="C49" s="13" t="s">
        <v>60</v>
      </c>
      <c r="D49" s="46">
        <f>465297/77549.72*1794.31</f>
        <v>10765.829458442919</v>
      </c>
      <c r="E49" s="27">
        <f>D49/H19/12</f>
        <v>0.49999858155516225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36"/>
      <c r="AQ49" s="40"/>
      <c r="AR49" s="40"/>
    </row>
    <row r="50" spans="1:44" ht="25.5">
      <c r="A50" s="6" t="s">
        <v>79</v>
      </c>
      <c r="B50" s="5" t="s">
        <v>24</v>
      </c>
      <c r="C50" s="13" t="s">
        <v>61</v>
      </c>
      <c r="D50" s="46">
        <f>5667319/77549.72*1794.31</f>
        <v>131127.83843565133</v>
      </c>
      <c r="E50" s="27">
        <f>D50/H19/12</f>
        <v>6.089984378194187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36"/>
      <c r="AQ50" s="40"/>
      <c r="AR50" s="40"/>
    </row>
    <row r="51" spans="1:44" ht="38.25">
      <c r="A51" s="6" t="s">
        <v>80</v>
      </c>
      <c r="B51" s="5" t="s">
        <v>25</v>
      </c>
      <c r="C51" s="17" t="s">
        <v>55</v>
      </c>
      <c r="D51" s="29">
        <f>2308000/77549.73*1794.31</f>
        <v>53401.44291927257</v>
      </c>
      <c r="E51" s="27">
        <f>D51/H19/12</f>
        <v>2.480128987339264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36"/>
      <c r="AQ51" s="40"/>
      <c r="AR51" s="40"/>
    </row>
    <row r="52" spans="1:44" ht="25.5">
      <c r="A52" s="6" t="s">
        <v>81</v>
      </c>
      <c r="B52" s="5" t="s">
        <v>26</v>
      </c>
      <c r="C52" s="13" t="s">
        <v>54</v>
      </c>
      <c r="D52" s="29">
        <f>9000/77549.72*1794.31</f>
        <v>208.23788918902608</v>
      </c>
      <c r="E52" s="27">
        <f>D52/H19/12</f>
        <v>0.009671214802580848</v>
      </c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36"/>
      <c r="AQ52" s="40"/>
      <c r="AR52" s="40"/>
    </row>
    <row r="53" spans="1:44" ht="38.25">
      <c r="A53" s="6" t="s">
        <v>82</v>
      </c>
      <c r="B53" s="5" t="s">
        <v>27</v>
      </c>
      <c r="C53" s="14" t="s">
        <v>54</v>
      </c>
      <c r="D53" s="29">
        <f>1414507/77549.72*1794.31</f>
        <v>32728.216880344637</v>
      </c>
      <c r="E53" s="27">
        <f>D53/H19/12</f>
        <v>1.5200001151949143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36"/>
      <c r="AQ53" s="40"/>
      <c r="AR53" s="40"/>
    </row>
    <row r="54" spans="1:44" ht="25.5">
      <c r="A54" s="6" t="s">
        <v>44</v>
      </c>
      <c r="B54" s="5" t="s">
        <v>28</v>
      </c>
      <c r="C54" s="15" t="s">
        <v>54</v>
      </c>
      <c r="D54" s="46"/>
      <c r="E54" s="27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36"/>
      <c r="AQ54" s="40"/>
      <c r="AR54" s="40"/>
    </row>
    <row r="55" spans="1:44" ht="38.25">
      <c r="A55" s="6" t="s">
        <v>48</v>
      </c>
      <c r="B55" s="5" t="s">
        <v>49</v>
      </c>
      <c r="C55" s="13" t="s">
        <v>52</v>
      </c>
      <c r="D55" s="46"/>
      <c r="E55" s="27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36"/>
      <c r="AQ55" s="40"/>
      <c r="AR55" s="40"/>
    </row>
    <row r="56" spans="1:44" ht="38.25">
      <c r="A56" s="6" t="s">
        <v>50</v>
      </c>
      <c r="B56" s="5" t="s">
        <v>51</v>
      </c>
      <c r="C56" s="13" t="s">
        <v>52</v>
      </c>
      <c r="D56" s="46"/>
      <c r="E56" s="27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36"/>
      <c r="AQ56" s="40"/>
      <c r="AR56" s="40"/>
    </row>
    <row r="57" spans="4:5" ht="15">
      <c r="D57" s="12"/>
      <c r="E57" s="22"/>
    </row>
    <row r="58" spans="4:5" ht="15">
      <c r="D58" s="12"/>
      <c r="E58" s="22"/>
    </row>
    <row r="59" spans="4:5" ht="15">
      <c r="D59" s="12"/>
      <c r="E59" s="22"/>
    </row>
    <row r="60" spans="4:5" ht="15">
      <c r="D60" s="12"/>
      <c r="E60" s="22"/>
    </row>
    <row r="61" spans="4:5" ht="15">
      <c r="D61" s="12"/>
      <c r="E61" s="22"/>
    </row>
    <row r="62" spans="4:5" ht="15">
      <c r="D62" s="12"/>
      <c r="E62" s="22"/>
    </row>
    <row r="63" spans="4:5" ht="15">
      <c r="D63" s="12"/>
      <c r="E63" s="22"/>
    </row>
    <row r="64" spans="4:5" ht="15">
      <c r="D64" s="12"/>
      <c r="E64" s="22"/>
    </row>
    <row r="65" spans="4:5" ht="15">
      <c r="D65" s="12"/>
      <c r="E65" s="22"/>
    </row>
    <row r="66" spans="4:5" ht="15">
      <c r="D66" s="12"/>
      <c r="E66" s="22"/>
    </row>
    <row r="67" spans="4:5" ht="15">
      <c r="D67" s="12"/>
      <c r="E67" s="22"/>
    </row>
    <row r="68" spans="4:5" ht="15">
      <c r="D68" s="12"/>
      <c r="E68" s="22"/>
    </row>
    <row r="69" spans="4:5" ht="15">
      <c r="D69" s="12"/>
      <c r="E69" s="22"/>
    </row>
    <row r="70" spans="4:5" ht="15">
      <c r="D70" s="12"/>
      <c r="E70" s="22"/>
    </row>
    <row r="71" spans="4:5" ht="15">
      <c r="D71" s="12"/>
      <c r="E71" s="22"/>
    </row>
    <row r="72" spans="4:5" ht="15">
      <c r="D72" s="12"/>
      <c r="E72" s="22"/>
    </row>
    <row r="73" spans="4:5" ht="15">
      <c r="D73" s="12"/>
      <c r="E73" s="22"/>
    </row>
    <row r="74" spans="4:5" ht="15">
      <c r="D74" s="12"/>
      <c r="E74" s="22"/>
    </row>
    <row r="75" spans="4:5" ht="15">
      <c r="D75" s="12"/>
      <c r="E75" s="22"/>
    </row>
    <row r="76" spans="4:5" ht="15">
      <c r="D76" s="12"/>
      <c r="E76" s="22"/>
    </row>
    <row r="77" spans="4:5" ht="15">
      <c r="D77" s="12"/>
      <c r="E77" s="22"/>
    </row>
    <row r="78" spans="4:5" ht="15">
      <c r="D78" s="12"/>
      <c r="E78" s="22"/>
    </row>
    <row r="79" spans="4:5" ht="15">
      <c r="D79" s="12"/>
      <c r="E79" s="22"/>
    </row>
    <row r="80" spans="4:5" ht="15">
      <c r="D80" s="12"/>
      <c r="E80" s="22"/>
    </row>
    <row r="81" spans="4:5" ht="15">
      <c r="D81" s="12"/>
      <c r="E81" s="22"/>
    </row>
    <row r="82" spans="4:5" ht="15">
      <c r="D82" s="12"/>
      <c r="E82" s="22"/>
    </row>
    <row r="83" spans="4:5" ht="15">
      <c r="D83" s="12"/>
      <c r="E83" s="22"/>
    </row>
    <row r="84" spans="4:5" ht="15">
      <c r="D84" s="12"/>
      <c r="E84" s="22"/>
    </row>
    <row r="85" spans="4:5" ht="15">
      <c r="D85" s="12"/>
      <c r="E85" s="22"/>
    </row>
    <row r="86" spans="4:5" ht="15">
      <c r="D86" s="12"/>
      <c r="E86" s="22"/>
    </row>
    <row r="87" spans="4:5" ht="15">
      <c r="D87" s="12"/>
      <c r="E87" s="22"/>
    </row>
    <row r="88" spans="4:5" ht="15">
      <c r="D88" s="12"/>
      <c r="E88" s="22"/>
    </row>
    <row r="89" spans="4:5" ht="15">
      <c r="D89" s="12"/>
      <c r="E89" s="22"/>
    </row>
    <row r="90" spans="4:5" ht="15">
      <c r="D90" s="12"/>
      <c r="E90" s="22"/>
    </row>
    <row r="91" spans="4:5" ht="15">
      <c r="D91" s="12"/>
      <c r="E91" s="22"/>
    </row>
    <row r="92" spans="4:5" ht="15">
      <c r="D92" s="12"/>
      <c r="E92" s="22"/>
    </row>
    <row r="93" spans="4:5" ht="15">
      <c r="D93" s="12"/>
      <c r="E93" s="22"/>
    </row>
    <row r="94" spans="4:5" ht="15">
      <c r="D94" s="12"/>
      <c r="E94" s="22"/>
    </row>
    <row r="95" spans="4:5" ht="15">
      <c r="D95" s="12"/>
      <c r="E95" s="22"/>
    </row>
    <row r="96" spans="4:5" ht="15">
      <c r="D96" s="12"/>
      <c r="E96" s="22"/>
    </row>
    <row r="97" spans="4:5" ht="15">
      <c r="D97" s="12"/>
      <c r="E97" s="22"/>
    </row>
    <row r="98" spans="4:5" ht="15">
      <c r="D98" s="12"/>
      <c r="E98" s="22"/>
    </row>
    <row r="99" spans="4:5" ht="15">
      <c r="D99" s="12"/>
      <c r="E99" s="22"/>
    </row>
    <row r="100" spans="4:5" ht="15">
      <c r="D100" s="12"/>
      <c r="E100" s="22"/>
    </row>
    <row r="101" spans="4:5" ht="15">
      <c r="D101" s="12"/>
      <c r="E101" s="22"/>
    </row>
    <row r="102" spans="4:5" ht="15">
      <c r="D102" s="12"/>
      <c r="E102" s="22"/>
    </row>
    <row r="103" spans="4:5" ht="15">
      <c r="D103" s="12"/>
      <c r="E103" s="22"/>
    </row>
    <row r="104" spans="4:5" ht="15">
      <c r="D104" s="12"/>
      <c r="E104" s="22"/>
    </row>
    <row r="105" spans="4:5" ht="15">
      <c r="D105" s="12"/>
      <c r="E105" s="22"/>
    </row>
    <row r="106" spans="4:5" ht="15">
      <c r="D106" s="12"/>
      <c r="E106" s="22"/>
    </row>
    <row r="107" spans="4:5" ht="15">
      <c r="D107" s="12"/>
      <c r="E107" s="22"/>
    </row>
    <row r="108" spans="4:5" ht="15">
      <c r="D108" s="12"/>
      <c r="E108" s="22"/>
    </row>
    <row r="109" spans="4:5" ht="15">
      <c r="D109" s="12"/>
      <c r="E109" s="22"/>
    </row>
    <row r="110" spans="4:5" ht="15">
      <c r="D110" s="12"/>
      <c r="E110" s="22"/>
    </row>
    <row r="111" spans="4:5" ht="15">
      <c r="D111" s="12"/>
      <c r="E111" s="22"/>
    </row>
    <row r="112" spans="4:5" ht="15">
      <c r="D112" s="12"/>
      <c r="E112" s="22"/>
    </row>
    <row r="113" spans="4:5" ht="15">
      <c r="D113" s="12"/>
      <c r="E113" s="22"/>
    </row>
    <row r="114" spans="4:5" ht="15">
      <c r="D114" s="12"/>
      <c r="E114" s="22"/>
    </row>
    <row r="115" spans="4:5" ht="15">
      <c r="D115" s="12"/>
      <c r="E115" s="22"/>
    </row>
    <row r="116" spans="4:5" ht="15">
      <c r="D116" s="12"/>
      <c r="E116" s="22"/>
    </row>
    <row r="117" spans="4:5" ht="15">
      <c r="D117" s="12"/>
      <c r="E117" s="22"/>
    </row>
    <row r="118" spans="4:5" ht="15">
      <c r="D118" s="12"/>
      <c r="E118" s="22"/>
    </row>
    <row r="119" spans="4:5" ht="15">
      <c r="D119" s="12"/>
      <c r="E119" s="22"/>
    </row>
    <row r="120" spans="4:5" ht="15">
      <c r="D120" s="12"/>
      <c r="E120" s="22"/>
    </row>
    <row r="121" spans="4:5" ht="15">
      <c r="D121" s="12"/>
      <c r="E121" s="22"/>
    </row>
    <row r="122" spans="4:5" ht="15">
      <c r="D122" s="12"/>
      <c r="E122" s="22"/>
    </row>
    <row r="123" spans="4:5" ht="15">
      <c r="D123" s="12"/>
      <c r="E123" s="22"/>
    </row>
    <row r="124" spans="4:5" ht="15">
      <c r="D124" s="12"/>
      <c r="E124" s="22"/>
    </row>
    <row r="125" spans="4:5" ht="15">
      <c r="D125" s="12"/>
      <c r="E125" s="22"/>
    </row>
    <row r="126" spans="4:5" ht="15">
      <c r="D126" s="12"/>
      <c r="E126" s="22"/>
    </row>
    <row r="127" spans="4:5" ht="15">
      <c r="D127" s="12"/>
      <c r="E127" s="22"/>
    </row>
    <row r="128" spans="4:5" ht="15">
      <c r="D128" s="12"/>
      <c r="E128" s="22"/>
    </row>
    <row r="129" spans="4:5" ht="15">
      <c r="D129" s="12"/>
      <c r="E129" s="22"/>
    </row>
    <row r="130" spans="4:5" ht="15">
      <c r="D130" s="12"/>
      <c r="E130" s="22"/>
    </row>
  </sheetData>
  <sheetProtection/>
  <mergeCells count="16">
    <mergeCell ref="A14:F14"/>
    <mergeCell ref="A15:F15"/>
    <mergeCell ref="A21:A22"/>
    <mergeCell ref="B21:B22"/>
    <mergeCell ref="D21:D22"/>
    <mergeCell ref="E21:E22"/>
    <mergeCell ref="A16:F16"/>
    <mergeCell ref="A17:F17"/>
    <mergeCell ref="A8:B8"/>
    <mergeCell ref="E8:F8"/>
    <mergeCell ref="A9:B9"/>
    <mergeCell ref="D9:F9"/>
    <mergeCell ref="A10:B10"/>
    <mergeCell ref="D10:F10"/>
    <mergeCell ref="A11:B11"/>
    <mergeCell ref="A12:B12"/>
  </mergeCells>
  <printOptions/>
  <pageMargins left="1.1811023622047245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R130"/>
  <sheetViews>
    <sheetView zoomScalePageLayoutView="0" workbookViewId="0" topLeftCell="A12">
      <selection activeCell="A12" sqref="A12:B12"/>
    </sheetView>
  </sheetViews>
  <sheetFormatPr defaultColWidth="9.140625" defaultRowHeight="15"/>
  <cols>
    <col min="1" max="1" width="5.8515625" style="4" customWidth="1"/>
    <col min="2" max="2" width="38.00390625" style="4" customWidth="1"/>
    <col min="3" max="3" width="17.7109375" style="4" hidden="1" customWidth="1"/>
    <col min="4" max="4" width="14.28125" style="4" customWidth="1"/>
    <col min="5" max="5" width="13.7109375" style="19" customWidth="1"/>
    <col min="6" max="6" width="10.140625" style="30" customWidth="1"/>
    <col min="7" max="7" width="10.57421875" style="31" customWidth="1"/>
    <col min="8" max="8" width="10.421875" style="31" customWidth="1"/>
    <col min="9" max="9" width="10.00390625" style="31" customWidth="1"/>
    <col min="10" max="10" width="9.8515625" style="31" customWidth="1"/>
    <col min="11" max="11" width="9.28125" style="31" customWidth="1"/>
    <col min="12" max="14" width="9.8515625" style="31" customWidth="1"/>
    <col min="15" max="23" width="9.8515625" style="31" hidden="1" customWidth="1"/>
    <col min="24" max="39" width="9.8515625" style="31" customWidth="1"/>
    <col min="40" max="40" width="11.421875" style="31" customWidth="1"/>
    <col min="41" max="41" width="11.00390625" style="31" customWidth="1"/>
    <col min="42" max="42" width="11.140625" style="31" customWidth="1"/>
    <col min="43" max="44" width="9.140625" style="31" customWidth="1"/>
    <col min="45" max="16384" width="9.140625" style="4" customWidth="1"/>
  </cols>
  <sheetData>
    <row r="1" spans="1:5" ht="15.75" hidden="1">
      <c r="A1" s="1" t="s">
        <v>0</v>
      </c>
      <c r="E1" s="18" t="s">
        <v>9</v>
      </c>
    </row>
    <row r="2" spans="1:5" ht="15.75" hidden="1">
      <c r="A2" s="1" t="s">
        <v>1</v>
      </c>
      <c r="E2" s="18" t="s">
        <v>11</v>
      </c>
    </row>
    <row r="3" spans="1:5" ht="15.75" hidden="1">
      <c r="A3" s="1" t="s">
        <v>2</v>
      </c>
      <c r="E3" s="18" t="s">
        <v>10</v>
      </c>
    </row>
    <row r="4" ht="15.75" hidden="1">
      <c r="A4" s="1" t="s">
        <v>3</v>
      </c>
    </row>
    <row r="5" ht="15" hidden="1"/>
    <row r="6" spans="1:5" ht="112.5" hidden="1">
      <c r="A6" s="2" t="s">
        <v>12</v>
      </c>
      <c r="B6" s="3"/>
      <c r="C6" s="3"/>
      <c r="D6" s="3"/>
      <c r="E6" s="20"/>
    </row>
    <row r="7" spans="1:5" ht="15" hidden="1">
      <c r="A7" s="3" t="s">
        <v>53</v>
      </c>
      <c r="B7" s="3"/>
      <c r="C7" s="3"/>
      <c r="D7" s="3"/>
      <c r="E7" s="21"/>
    </row>
    <row r="8" spans="1:6" ht="15.75" customHeight="1">
      <c r="A8" s="60" t="s">
        <v>0</v>
      </c>
      <c r="B8" s="61"/>
      <c r="C8" s="52"/>
      <c r="D8" s="53"/>
      <c r="E8" s="62" t="s">
        <v>9</v>
      </c>
      <c r="F8" s="63"/>
    </row>
    <row r="9" spans="1:6" ht="15">
      <c r="A9" s="61" t="s">
        <v>83</v>
      </c>
      <c r="B9" s="61"/>
      <c r="C9" s="52"/>
      <c r="D9" s="64" t="s">
        <v>114</v>
      </c>
      <c r="E9" s="63"/>
      <c r="F9" s="63"/>
    </row>
    <row r="10" spans="1:6" ht="15">
      <c r="A10" s="61" t="s">
        <v>84</v>
      </c>
      <c r="B10" s="61"/>
      <c r="C10" s="52"/>
      <c r="D10" s="64" t="s">
        <v>118</v>
      </c>
      <c r="E10" s="63"/>
      <c r="F10" s="63"/>
    </row>
    <row r="11" spans="1:5" ht="15">
      <c r="A11" s="61" t="s">
        <v>2</v>
      </c>
      <c r="B11" s="61"/>
      <c r="C11" s="52"/>
      <c r="D11" s="52"/>
      <c r="E11" s="21"/>
    </row>
    <row r="12" spans="1:5" ht="15" customHeight="1">
      <c r="A12" s="61" t="s">
        <v>133</v>
      </c>
      <c r="B12" s="61"/>
      <c r="C12" s="52"/>
      <c r="D12" s="52"/>
      <c r="E12" s="21"/>
    </row>
    <row r="13" spans="1:5" ht="15">
      <c r="A13" s="54"/>
      <c r="B13" s="54"/>
      <c r="C13" s="52"/>
      <c r="D13" s="52"/>
      <c r="E13" s="21"/>
    </row>
    <row r="14" spans="1:6" ht="15.75">
      <c r="A14" s="67" t="s">
        <v>86</v>
      </c>
      <c r="B14" s="67"/>
      <c r="C14" s="67"/>
      <c r="D14" s="67"/>
      <c r="E14" s="67"/>
      <c r="F14" s="67"/>
    </row>
    <row r="15" spans="1:6" ht="15.75">
      <c r="A15" s="67" t="s">
        <v>87</v>
      </c>
      <c r="B15" s="67"/>
      <c r="C15" s="67"/>
      <c r="D15" s="67"/>
      <c r="E15" s="67"/>
      <c r="F15" s="67"/>
    </row>
    <row r="16" spans="1:6" ht="15.75">
      <c r="A16" s="67" t="s">
        <v>88</v>
      </c>
      <c r="B16" s="67"/>
      <c r="C16" s="67"/>
      <c r="D16" s="67"/>
      <c r="E16" s="67"/>
      <c r="F16" s="67"/>
    </row>
    <row r="17" spans="1:6" ht="15">
      <c r="A17" s="80" t="s">
        <v>111</v>
      </c>
      <c r="B17" s="81"/>
      <c r="C17" s="81"/>
      <c r="D17" s="81"/>
      <c r="E17" s="81"/>
      <c r="F17" s="81"/>
    </row>
    <row r="18" spans="1:5" ht="15">
      <c r="A18" s="3"/>
      <c r="B18" s="3"/>
      <c r="C18" s="3"/>
      <c r="D18" s="3"/>
      <c r="E18" s="55"/>
    </row>
    <row r="19" spans="1:9" ht="28.5">
      <c r="A19" s="10" t="s">
        <v>47</v>
      </c>
      <c r="B19" s="3"/>
      <c r="C19" s="3"/>
      <c r="D19" s="3"/>
      <c r="E19" s="48"/>
      <c r="H19" s="51">
        <v>3528.3</v>
      </c>
      <c r="I19" s="31">
        <v>77549.72</v>
      </c>
    </row>
    <row r="20" ht="15">
      <c r="D20" s="16"/>
    </row>
    <row r="21" spans="1:42" ht="42" customHeight="1">
      <c r="A21" s="74" t="s">
        <v>8</v>
      </c>
      <c r="B21" s="74" t="s">
        <v>4</v>
      </c>
      <c r="C21" s="28" t="s">
        <v>5</v>
      </c>
      <c r="D21" s="75" t="s">
        <v>6</v>
      </c>
      <c r="E21" s="77" t="s">
        <v>7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3"/>
    </row>
    <row r="22" spans="1:42" ht="14.25" customHeight="1">
      <c r="A22" s="74"/>
      <c r="B22" s="74"/>
      <c r="C22" s="28"/>
      <c r="D22" s="76"/>
      <c r="E22" s="77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6"/>
    </row>
    <row r="23" spans="1:44" s="11" customFormat="1" ht="51">
      <c r="A23" s="23">
        <v>1</v>
      </c>
      <c r="B23" s="24" t="s">
        <v>13</v>
      </c>
      <c r="C23" s="25"/>
      <c r="D23" s="44">
        <f>D24+D25+D54+D55</f>
        <v>1659074.389773425</v>
      </c>
      <c r="E23" s="50">
        <f>E24+E25+E54+E55</f>
        <v>39.18493301243812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6"/>
      <c r="AQ23" s="38"/>
      <c r="AR23" s="38"/>
    </row>
    <row r="24" spans="1:44" ht="51.75" customHeight="1">
      <c r="A24" s="8">
        <v>2</v>
      </c>
      <c r="B24" s="5" t="s">
        <v>45</v>
      </c>
      <c r="C24" s="13" t="s">
        <v>54</v>
      </c>
      <c r="D24" s="45">
        <f>1905742/77549.72*3528.3</f>
        <v>86706.04482646746</v>
      </c>
      <c r="E24" s="26">
        <f>D24/H19/12</f>
        <v>2.0478711378111143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6"/>
      <c r="AQ24" s="40"/>
      <c r="AR24" s="40"/>
    </row>
    <row r="25" spans="1:44" ht="25.5">
      <c r="A25" s="8">
        <v>3</v>
      </c>
      <c r="B25" s="5" t="s">
        <v>29</v>
      </c>
      <c r="C25" s="13"/>
      <c r="D25" s="45">
        <f>D26+D27+D28+D29+D30+D31+D32+D33+D34+D35+D36+D37+D38+D39+D40+D41+D42+D43+D44+D45+D46+D47+D48+D49+D50+D51+D52+D53+D54+D55+D56</f>
        <v>1572368.3449469574</v>
      </c>
      <c r="E25" s="26">
        <f>SUM(E26:E56)</f>
        <v>37.13706187462701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0"/>
      <c r="AR25" s="40"/>
    </row>
    <row r="26" spans="1:44" ht="25.5">
      <c r="A26" s="9">
        <v>3.1</v>
      </c>
      <c r="B26" s="5" t="s">
        <v>14</v>
      </c>
      <c r="C26" s="13"/>
      <c r="D26" s="46"/>
      <c r="E26" s="27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6"/>
      <c r="AQ26" s="40"/>
      <c r="AR26" s="40"/>
    </row>
    <row r="27" spans="1:44" ht="24">
      <c r="A27" s="6">
        <v>3.2</v>
      </c>
      <c r="B27" s="5" t="s">
        <v>15</v>
      </c>
      <c r="C27" s="13" t="s">
        <v>57</v>
      </c>
      <c r="D27" s="46">
        <f>353626/77549.72*3528.3</f>
        <v>16089.015096379459</v>
      </c>
      <c r="E27" s="27">
        <f>D27/H19/12</f>
        <v>0.3799992228641616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36"/>
      <c r="AQ27" s="40"/>
      <c r="AR27" s="40"/>
    </row>
    <row r="28" spans="1:44" ht="25.5">
      <c r="A28" s="9">
        <v>3.3</v>
      </c>
      <c r="B28" s="5" t="s">
        <v>16</v>
      </c>
      <c r="C28" s="13" t="s">
        <v>59</v>
      </c>
      <c r="D28" s="46">
        <f>158201/77549.72*3528.3</f>
        <v>7197.712490773661</v>
      </c>
      <c r="E28" s="27">
        <f>D28/H19/12</f>
        <v>0.1699995392203436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36"/>
      <c r="AQ28" s="40"/>
      <c r="AR28" s="40"/>
    </row>
    <row r="29" spans="1:44" ht="34.5" customHeight="1">
      <c r="A29" s="6" t="s">
        <v>68</v>
      </c>
      <c r="B29" s="5" t="s">
        <v>17</v>
      </c>
      <c r="C29" s="13" t="s">
        <v>56</v>
      </c>
      <c r="D29" s="46"/>
      <c r="E29" s="27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6"/>
      <c r="AQ29" s="40"/>
      <c r="AR29" s="40"/>
    </row>
    <row r="30" spans="1:44" ht="34.5" customHeight="1">
      <c r="A30" s="6" t="s">
        <v>69</v>
      </c>
      <c r="B30" s="5" t="s">
        <v>70</v>
      </c>
      <c r="C30" s="13"/>
      <c r="D30" s="46"/>
      <c r="E30" s="27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6"/>
      <c r="AQ30" s="40"/>
      <c r="AR30" s="40"/>
    </row>
    <row r="31" spans="1:44" ht="41.25" customHeight="1">
      <c r="A31" s="6" t="s">
        <v>71</v>
      </c>
      <c r="B31" s="5" t="s">
        <v>72</v>
      </c>
      <c r="C31" s="13"/>
      <c r="D31" s="46"/>
      <c r="E31" s="27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6"/>
      <c r="AQ31" s="40"/>
      <c r="AR31" s="40"/>
    </row>
    <row r="32" spans="1:44" ht="25.5">
      <c r="A32" s="9">
        <v>3.7</v>
      </c>
      <c r="B32" s="5" t="s">
        <v>18</v>
      </c>
      <c r="C32" s="13" t="s">
        <v>57</v>
      </c>
      <c r="D32" s="46">
        <f>2345097/77549.72*3528.3</f>
        <v>106695.49477548081</v>
      </c>
      <c r="E32" s="27">
        <f>D32/H19/12</f>
        <v>2.5199929799875487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36"/>
      <c r="AQ32" s="40"/>
      <c r="AR32" s="40"/>
    </row>
    <row r="33" spans="1:44" ht="25.5">
      <c r="A33" s="6">
        <v>3.8</v>
      </c>
      <c r="B33" s="5" t="s">
        <v>64</v>
      </c>
      <c r="C33" s="13" t="s">
        <v>57</v>
      </c>
      <c r="D33" s="46">
        <f>651416/77549.72*3528.3</f>
        <v>29637.64502051071</v>
      </c>
      <c r="E33" s="27">
        <f>D33/H19/12</f>
        <v>0.6999982290931116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36"/>
      <c r="AQ33" s="40"/>
      <c r="AR33" s="40"/>
    </row>
    <row r="34" spans="1:44" ht="25.5">
      <c r="A34" s="9">
        <v>3.9</v>
      </c>
      <c r="B34" s="5" t="s">
        <v>19</v>
      </c>
      <c r="C34" s="13" t="s">
        <v>57</v>
      </c>
      <c r="D34" s="46">
        <f>697946/77549.72*3528.3</f>
        <v>31754.63266405088</v>
      </c>
      <c r="E34" s="27">
        <f>D34/H19/12</f>
        <v>0.7499984096224547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36"/>
      <c r="AQ34" s="40"/>
      <c r="AR34" s="40"/>
    </row>
    <row r="35" spans="1:44" ht="25.5">
      <c r="A35" s="6" t="s">
        <v>30</v>
      </c>
      <c r="B35" s="5" t="s">
        <v>65</v>
      </c>
      <c r="C35" s="13" t="s">
        <v>57</v>
      </c>
      <c r="D35" s="46"/>
      <c r="E35" s="27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36"/>
      <c r="AQ35" s="40"/>
      <c r="AR35" s="40"/>
    </row>
    <row r="36" spans="1:44" ht="25.5">
      <c r="A36" s="6" t="s">
        <v>31</v>
      </c>
      <c r="B36" s="5" t="s">
        <v>66</v>
      </c>
      <c r="C36" s="13"/>
      <c r="D36" s="46"/>
      <c r="E36" s="27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36"/>
      <c r="AQ36" s="40"/>
      <c r="AR36" s="40"/>
    </row>
    <row r="37" spans="1:44" ht="40.5" customHeight="1">
      <c r="A37" s="6" t="s">
        <v>32</v>
      </c>
      <c r="B37" s="5" t="s">
        <v>20</v>
      </c>
      <c r="C37" s="13"/>
      <c r="D37" s="46"/>
      <c r="E37" s="27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36"/>
      <c r="AQ37" s="40"/>
      <c r="AR37" s="40"/>
    </row>
    <row r="38" spans="1:44" ht="51">
      <c r="A38" s="6" t="s">
        <v>33</v>
      </c>
      <c r="B38" s="5" t="s">
        <v>21</v>
      </c>
      <c r="C38" s="13" t="s">
        <v>58</v>
      </c>
      <c r="D38" s="46">
        <f>2373015/77549.72*3528.3</f>
        <v>107965.68736160491</v>
      </c>
      <c r="E38" s="27">
        <f>D38/H19/12</f>
        <v>2.5499930883051545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36"/>
      <c r="AQ38" s="40"/>
      <c r="AR38" s="40"/>
    </row>
    <row r="39" spans="1:44" ht="33" customHeight="1">
      <c r="A39" s="6" t="s">
        <v>34</v>
      </c>
      <c r="B39" s="5" t="s">
        <v>73</v>
      </c>
      <c r="C39" s="13"/>
      <c r="D39" s="46"/>
      <c r="E39" s="27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36"/>
      <c r="AQ39" s="40"/>
      <c r="AR39" s="40"/>
    </row>
    <row r="40" spans="1:44" ht="41.25" customHeight="1">
      <c r="A40" s="6" t="s">
        <v>35</v>
      </c>
      <c r="B40" s="5" t="s">
        <v>22</v>
      </c>
      <c r="C40" s="13"/>
      <c r="D40" s="46"/>
      <c r="E40" s="27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36"/>
      <c r="AQ40" s="40"/>
      <c r="AR40" s="40"/>
    </row>
    <row r="41" spans="1:44" ht="41.25" customHeight="1">
      <c r="A41" s="6" t="s">
        <v>36</v>
      </c>
      <c r="B41" s="5" t="s">
        <v>74</v>
      </c>
      <c r="C41" s="13"/>
      <c r="D41" s="46"/>
      <c r="E41" s="27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36"/>
      <c r="AQ41" s="40"/>
      <c r="AR41" s="40"/>
    </row>
    <row r="42" spans="1:44" ht="40.5" customHeight="1">
      <c r="A42" s="6" t="s">
        <v>37</v>
      </c>
      <c r="B42" s="5" t="s">
        <v>75</v>
      </c>
      <c r="C42" s="13" t="s">
        <v>54</v>
      </c>
      <c r="D42" s="47">
        <f>2696000/77549.72*3528.3</f>
        <v>122660.62082493657</v>
      </c>
      <c r="E42" s="27">
        <f>D42/H19/12</f>
        <v>2.8970661230842185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36"/>
      <c r="AQ42" s="40"/>
      <c r="AR42" s="40"/>
    </row>
    <row r="43" spans="1:44" ht="51">
      <c r="A43" s="6" t="s">
        <v>38</v>
      </c>
      <c r="B43" s="5" t="s">
        <v>67</v>
      </c>
      <c r="C43" s="13"/>
      <c r="D43" s="46"/>
      <c r="E43" s="27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36"/>
      <c r="AQ43" s="40"/>
      <c r="AR43" s="40"/>
    </row>
    <row r="44" spans="1:44" ht="40.5" customHeight="1">
      <c r="A44" s="6" t="s">
        <v>39</v>
      </c>
      <c r="B44" s="5" t="s">
        <v>76</v>
      </c>
      <c r="C44" s="13"/>
      <c r="D44" s="46"/>
      <c r="E44" s="27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36"/>
      <c r="AQ44" s="40"/>
      <c r="AR44" s="40"/>
    </row>
    <row r="45" spans="1:44" ht="39" customHeight="1">
      <c r="A45" s="6" t="s">
        <v>40</v>
      </c>
      <c r="B45" s="5" t="s">
        <v>77</v>
      </c>
      <c r="C45" s="13" t="s">
        <v>54</v>
      </c>
      <c r="D45" s="29">
        <f>1448000/77549.72*3528.3</f>
        <v>65880.03670419441</v>
      </c>
      <c r="E45" s="27">
        <f>D45/H19/12</f>
        <v>1.5559910037930074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36"/>
      <c r="AQ45" s="40"/>
      <c r="AR45" s="40"/>
    </row>
    <row r="46" spans="1:44" ht="39" customHeight="1">
      <c r="A46" s="6" t="s">
        <v>41</v>
      </c>
      <c r="B46" s="5" t="s">
        <v>78</v>
      </c>
      <c r="C46" s="13"/>
      <c r="D46" s="29"/>
      <c r="E46" s="27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36"/>
      <c r="AQ46" s="40"/>
      <c r="AR46" s="40"/>
    </row>
    <row r="47" spans="1:44" ht="25.5">
      <c r="A47" s="6" t="s">
        <v>42</v>
      </c>
      <c r="B47" s="5" t="s">
        <v>62</v>
      </c>
      <c r="C47" s="13" t="s">
        <v>54</v>
      </c>
      <c r="D47" s="46"/>
      <c r="E47" s="27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36"/>
      <c r="AQ47" s="40"/>
      <c r="AR47" s="40"/>
    </row>
    <row r="48" spans="1:44" ht="25.5">
      <c r="A48" s="6" t="s">
        <v>43</v>
      </c>
      <c r="B48" s="7" t="s">
        <v>63</v>
      </c>
      <c r="C48" s="13" t="s">
        <v>54</v>
      </c>
      <c r="D48" s="46">
        <f>13972201/77549.72*3528.3</f>
        <v>635696.9024298218</v>
      </c>
      <c r="E48" s="27">
        <f>D48/H19/12</f>
        <v>15.014239681759435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36"/>
      <c r="AQ48" s="40"/>
      <c r="AR48" s="40"/>
    </row>
    <row r="49" spans="1:44" ht="25.5">
      <c r="A49" s="6" t="s">
        <v>46</v>
      </c>
      <c r="B49" s="5" t="s">
        <v>23</v>
      </c>
      <c r="C49" s="13" t="s">
        <v>60</v>
      </c>
      <c r="D49" s="46">
        <f>465297/77549.72*3528.3</f>
        <v>21169.73994361295</v>
      </c>
      <c r="E49" s="27">
        <f>D49/H19/12</f>
        <v>0.49999858155516225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36"/>
      <c r="AQ49" s="40"/>
      <c r="AR49" s="40"/>
    </row>
    <row r="50" spans="1:44" ht="25.5">
      <c r="A50" s="6" t="s">
        <v>79</v>
      </c>
      <c r="B50" s="5" t="s">
        <v>24</v>
      </c>
      <c r="C50" s="13" t="s">
        <v>61</v>
      </c>
      <c r="D50" s="46">
        <f>5667319/77549.72*3528.3</f>
        <v>257847.50257899062</v>
      </c>
      <c r="E50" s="27">
        <f>D50/H19/12</f>
        <v>6.089984378194187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36"/>
      <c r="AQ50" s="40"/>
      <c r="AR50" s="40"/>
    </row>
    <row r="51" spans="1:44" ht="38.25">
      <c r="A51" s="6" t="s">
        <v>80</v>
      </c>
      <c r="B51" s="5" t="s">
        <v>25</v>
      </c>
      <c r="C51" s="17" t="s">
        <v>55</v>
      </c>
      <c r="D51" s="29">
        <f>2308000/77549.72*3528.3</f>
        <v>105007.68281303917</v>
      </c>
      <c r="E51" s="27">
        <f>D51/H19/12</f>
        <v>2.4801293071507327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36"/>
      <c r="AQ51" s="40"/>
      <c r="AR51" s="40"/>
    </row>
    <row r="52" spans="1:44" ht="25.5">
      <c r="A52" s="6" t="s">
        <v>81</v>
      </c>
      <c r="B52" s="5" t="s">
        <v>26</v>
      </c>
      <c r="C52" s="13" t="s">
        <v>54</v>
      </c>
      <c r="D52" s="29">
        <f>9000/77549.72*3528.3</f>
        <v>409.47536625535207</v>
      </c>
      <c r="E52" s="27">
        <f>D52/H19/12</f>
        <v>0.009671214802580848</v>
      </c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36"/>
      <c r="AQ52" s="40"/>
      <c r="AR52" s="40"/>
    </row>
    <row r="53" spans="1:44" ht="38.25">
      <c r="A53" s="6" t="s">
        <v>82</v>
      </c>
      <c r="B53" s="5" t="s">
        <v>27</v>
      </c>
      <c r="C53" s="14" t="s">
        <v>54</v>
      </c>
      <c r="D53" s="29">
        <f>1414507/77549.72*3528.3</f>
        <v>64356.1968773066</v>
      </c>
      <c r="E53" s="27">
        <f>D53/H19/12</f>
        <v>1.5200001151949143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36"/>
      <c r="AQ53" s="40"/>
      <c r="AR53" s="40"/>
    </row>
    <row r="54" spans="1:44" ht="25.5">
      <c r="A54" s="6" t="s">
        <v>44</v>
      </c>
      <c r="B54" s="5" t="s">
        <v>28</v>
      </c>
      <c r="C54" s="15" t="s">
        <v>54</v>
      </c>
      <c r="D54" s="46"/>
      <c r="E54" s="27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36"/>
      <c r="AQ54" s="40"/>
      <c r="AR54" s="40"/>
    </row>
    <row r="55" spans="1:44" ht="38.25">
      <c r="A55" s="6" t="s">
        <v>48</v>
      </c>
      <c r="B55" s="5" t="s">
        <v>49</v>
      </c>
      <c r="C55" s="13" t="s">
        <v>52</v>
      </c>
      <c r="D55" s="46"/>
      <c r="E55" s="27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36"/>
      <c r="AQ55" s="40"/>
      <c r="AR55" s="40"/>
    </row>
    <row r="56" spans="1:44" ht="38.25">
      <c r="A56" s="6" t="s">
        <v>50</v>
      </c>
      <c r="B56" s="5" t="s">
        <v>51</v>
      </c>
      <c r="C56" s="13" t="s">
        <v>52</v>
      </c>
      <c r="D56" s="46"/>
      <c r="E56" s="27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36"/>
      <c r="AQ56" s="40"/>
      <c r="AR56" s="40"/>
    </row>
    <row r="57" spans="4:5" ht="15">
      <c r="D57" s="12"/>
      <c r="E57" s="22"/>
    </row>
    <row r="58" spans="4:5" ht="15">
      <c r="D58" s="12"/>
      <c r="E58" s="22"/>
    </row>
    <row r="59" spans="4:5" ht="15">
      <c r="D59" s="12"/>
      <c r="E59" s="22"/>
    </row>
    <row r="60" spans="4:5" ht="15">
      <c r="D60" s="12"/>
      <c r="E60" s="22"/>
    </row>
    <row r="61" spans="4:5" ht="15">
      <c r="D61" s="12"/>
      <c r="E61" s="22"/>
    </row>
    <row r="62" spans="4:5" ht="15">
      <c r="D62" s="12"/>
      <c r="E62" s="22"/>
    </row>
    <row r="63" spans="4:5" ht="15">
      <c r="D63" s="12"/>
      <c r="E63" s="22"/>
    </row>
    <row r="64" spans="4:5" ht="15">
      <c r="D64" s="12"/>
      <c r="E64" s="22"/>
    </row>
    <row r="65" spans="4:5" ht="15">
      <c r="D65" s="12"/>
      <c r="E65" s="22"/>
    </row>
    <row r="66" spans="4:5" ht="15">
      <c r="D66" s="12"/>
      <c r="E66" s="22"/>
    </row>
    <row r="67" spans="4:5" ht="15">
      <c r="D67" s="12"/>
      <c r="E67" s="22"/>
    </row>
    <row r="68" spans="4:5" ht="15">
      <c r="D68" s="12"/>
      <c r="E68" s="22"/>
    </row>
    <row r="69" spans="4:5" ht="15">
      <c r="D69" s="12"/>
      <c r="E69" s="22"/>
    </row>
    <row r="70" spans="4:5" ht="15">
      <c r="D70" s="12"/>
      <c r="E70" s="22"/>
    </row>
    <row r="71" spans="4:5" ht="15">
      <c r="D71" s="12"/>
      <c r="E71" s="22"/>
    </row>
    <row r="72" spans="4:5" ht="15">
      <c r="D72" s="12"/>
      <c r="E72" s="22"/>
    </row>
    <row r="73" spans="4:5" ht="15">
      <c r="D73" s="12"/>
      <c r="E73" s="22"/>
    </row>
    <row r="74" spans="4:5" ht="15">
      <c r="D74" s="12"/>
      <c r="E74" s="22"/>
    </row>
    <row r="75" spans="4:5" ht="15">
      <c r="D75" s="12"/>
      <c r="E75" s="22"/>
    </row>
    <row r="76" spans="4:5" ht="15">
      <c r="D76" s="12"/>
      <c r="E76" s="22"/>
    </row>
    <row r="77" spans="4:5" ht="15">
      <c r="D77" s="12"/>
      <c r="E77" s="22"/>
    </row>
    <row r="78" spans="4:5" ht="15">
      <c r="D78" s="12"/>
      <c r="E78" s="22"/>
    </row>
    <row r="79" spans="4:5" ht="15">
      <c r="D79" s="12"/>
      <c r="E79" s="22"/>
    </row>
    <row r="80" spans="4:5" ht="15">
      <c r="D80" s="12"/>
      <c r="E80" s="22"/>
    </row>
    <row r="81" spans="4:5" ht="15">
      <c r="D81" s="12"/>
      <c r="E81" s="22"/>
    </row>
    <row r="82" spans="4:5" ht="15">
      <c r="D82" s="12"/>
      <c r="E82" s="22"/>
    </row>
    <row r="83" spans="4:5" ht="15">
      <c r="D83" s="12"/>
      <c r="E83" s="22"/>
    </row>
    <row r="84" spans="4:5" ht="15">
      <c r="D84" s="12"/>
      <c r="E84" s="22"/>
    </row>
    <row r="85" spans="4:5" ht="15">
      <c r="D85" s="12"/>
      <c r="E85" s="22"/>
    </row>
    <row r="86" spans="4:5" ht="15">
      <c r="D86" s="12"/>
      <c r="E86" s="22"/>
    </row>
    <row r="87" spans="4:5" ht="15">
      <c r="D87" s="12"/>
      <c r="E87" s="22"/>
    </row>
    <row r="88" spans="4:5" ht="15">
      <c r="D88" s="12"/>
      <c r="E88" s="22"/>
    </row>
    <row r="89" spans="4:5" ht="15">
      <c r="D89" s="12"/>
      <c r="E89" s="22"/>
    </row>
    <row r="90" spans="4:5" ht="15">
      <c r="D90" s="12"/>
      <c r="E90" s="22"/>
    </row>
    <row r="91" spans="4:5" ht="15">
      <c r="D91" s="12"/>
      <c r="E91" s="22"/>
    </row>
    <row r="92" spans="4:5" ht="15">
      <c r="D92" s="12"/>
      <c r="E92" s="22"/>
    </row>
    <row r="93" spans="4:5" ht="15">
      <c r="D93" s="12"/>
      <c r="E93" s="22"/>
    </row>
    <row r="94" spans="4:5" ht="15">
      <c r="D94" s="12"/>
      <c r="E94" s="22"/>
    </row>
    <row r="95" spans="4:5" ht="15">
      <c r="D95" s="12"/>
      <c r="E95" s="22"/>
    </row>
    <row r="96" spans="4:5" ht="15">
      <c r="D96" s="12"/>
      <c r="E96" s="22"/>
    </row>
    <row r="97" spans="4:5" ht="15">
      <c r="D97" s="12"/>
      <c r="E97" s="22"/>
    </row>
    <row r="98" spans="4:5" ht="15">
      <c r="D98" s="12"/>
      <c r="E98" s="22"/>
    </row>
    <row r="99" spans="4:5" ht="15">
      <c r="D99" s="12"/>
      <c r="E99" s="22"/>
    </row>
    <row r="100" spans="4:5" ht="15">
      <c r="D100" s="12"/>
      <c r="E100" s="22"/>
    </row>
    <row r="101" spans="4:5" ht="15">
      <c r="D101" s="12"/>
      <c r="E101" s="22"/>
    </row>
    <row r="102" spans="4:5" ht="15">
      <c r="D102" s="12"/>
      <c r="E102" s="22"/>
    </row>
    <row r="103" spans="4:5" ht="15">
      <c r="D103" s="12"/>
      <c r="E103" s="22"/>
    </row>
    <row r="104" spans="4:5" ht="15">
      <c r="D104" s="12"/>
      <c r="E104" s="22"/>
    </row>
    <row r="105" spans="4:5" ht="15">
      <c r="D105" s="12"/>
      <c r="E105" s="22"/>
    </row>
    <row r="106" spans="4:5" ht="15">
      <c r="D106" s="12"/>
      <c r="E106" s="22"/>
    </row>
    <row r="107" spans="4:5" ht="15">
      <c r="D107" s="12"/>
      <c r="E107" s="22"/>
    </row>
    <row r="108" spans="4:5" ht="15">
      <c r="D108" s="12"/>
      <c r="E108" s="22"/>
    </row>
    <row r="109" spans="4:5" ht="15">
      <c r="D109" s="12"/>
      <c r="E109" s="22"/>
    </row>
    <row r="110" spans="4:5" ht="15">
      <c r="D110" s="12"/>
      <c r="E110" s="22"/>
    </row>
    <row r="111" spans="4:5" ht="15">
      <c r="D111" s="12"/>
      <c r="E111" s="22"/>
    </row>
    <row r="112" spans="4:5" ht="15">
      <c r="D112" s="12"/>
      <c r="E112" s="22"/>
    </row>
    <row r="113" spans="4:5" ht="15">
      <c r="D113" s="12"/>
      <c r="E113" s="22"/>
    </row>
    <row r="114" spans="4:5" ht="15">
      <c r="D114" s="12"/>
      <c r="E114" s="22"/>
    </row>
    <row r="115" spans="4:5" ht="15">
      <c r="D115" s="12"/>
      <c r="E115" s="22"/>
    </row>
    <row r="116" spans="4:5" ht="15">
      <c r="D116" s="12"/>
      <c r="E116" s="22"/>
    </row>
    <row r="117" spans="4:5" ht="15">
      <c r="D117" s="12"/>
      <c r="E117" s="22"/>
    </row>
    <row r="118" spans="4:5" ht="15">
      <c r="D118" s="12"/>
      <c r="E118" s="22"/>
    </row>
    <row r="119" spans="4:5" ht="15">
      <c r="D119" s="12"/>
      <c r="E119" s="22"/>
    </row>
    <row r="120" spans="4:5" ht="15">
      <c r="D120" s="12"/>
      <c r="E120" s="22"/>
    </row>
    <row r="121" spans="4:5" ht="15">
      <c r="D121" s="12"/>
      <c r="E121" s="22"/>
    </row>
    <row r="122" spans="4:5" ht="15">
      <c r="D122" s="12"/>
      <c r="E122" s="22"/>
    </row>
    <row r="123" spans="4:5" ht="15">
      <c r="D123" s="12"/>
      <c r="E123" s="22"/>
    </row>
    <row r="124" spans="4:5" ht="15">
      <c r="D124" s="12"/>
      <c r="E124" s="22"/>
    </row>
    <row r="125" spans="4:5" ht="15">
      <c r="D125" s="12"/>
      <c r="E125" s="22"/>
    </row>
    <row r="126" spans="4:5" ht="15">
      <c r="D126" s="12"/>
      <c r="E126" s="22"/>
    </row>
    <row r="127" spans="4:5" ht="15">
      <c r="D127" s="12"/>
      <c r="E127" s="22"/>
    </row>
    <row r="128" spans="4:5" ht="15">
      <c r="D128" s="12"/>
      <c r="E128" s="22"/>
    </row>
    <row r="129" spans="4:5" ht="15">
      <c r="D129" s="12"/>
      <c r="E129" s="22"/>
    </row>
    <row r="130" spans="4:5" ht="15">
      <c r="D130" s="12"/>
      <c r="E130" s="22"/>
    </row>
  </sheetData>
  <sheetProtection/>
  <mergeCells count="16">
    <mergeCell ref="A14:F14"/>
    <mergeCell ref="A15:F15"/>
    <mergeCell ref="A21:A22"/>
    <mergeCell ref="B21:B22"/>
    <mergeCell ref="D21:D22"/>
    <mergeCell ref="E21:E22"/>
    <mergeCell ref="A16:F16"/>
    <mergeCell ref="A17:F17"/>
    <mergeCell ref="A8:B8"/>
    <mergeCell ref="E8:F8"/>
    <mergeCell ref="A9:B9"/>
    <mergeCell ref="D9:F9"/>
    <mergeCell ref="A10:B10"/>
    <mergeCell ref="D10:F10"/>
    <mergeCell ref="A11:B11"/>
    <mergeCell ref="A12:B12"/>
  </mergeCells>
  <printOptions/>
  <pageMargins left="1.1811023622047245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R130"/>
  <sheetViews>
    <sheetView zoomScalePageLayoutView="0" workbookViewId="0" topLeftCell="A8">
      <selection activeCell="A12" sqref="A12:B12"/>
    </sheetView>
  </sheetViews>
  <sheetFormatPr defaultColWidth="9.140625" defaultRowHeight="15"/>
  <cols>
    <col min="1" max="1" width="5.8515625" style="4" customWidth="1"/>
    <col min="2" max="2" width="38.00390625" style="4" customWidth="1"/>
    <col min="3" max="3" width="17.7109375" style="4" hidden="1" customWidth="1"/>
    <col min="4" max="4" width="14.28125" style="4" customWidth="1"/>
    <col min="5" max="5" width="13.7109375" style="19" customWidth="1"/>
    <col min="6" max="6" width="10.140625" style="30" customWidth="1"/>
    <col min="7" max="7" width="10.57421875" style="31" customWidth="1"/>
    <col min="8" max="8" width="10.421875" style="31" customWidth="1"/>
    <col min="9" max="9" width="10.00390625" style="31" customWidth="1"/>
    <col min="10" max="10" width="9.8515625" style="31" customWidth="1"/>
    <col min="11" max="11" width="9.28125" style="31" customWidth="1"/>
    <col min="12" max="14" width="9.8515625" style="31" customWidth="1"/>
    <col min="15" max="23" width="9.8515625" style="31" hidden="1" customWidth="1"/>
    <col min="24" max="39" width="9.8515625" style="31" customWidth="1"/>
    <col min="40" max="40" width="11.421875" style="31" customWidth="1"/>
    <col min="41" max="41" width="11.00390625" style="31" customWidth="1"/>
    <col min="42" max="42" width="11.140625" style="31" customWidth="1"/>
    <col min="43" max="44" width="9.140625" style="31" customWidth="1"/>
    <col min="45" max="16384" width="9.140625" style="4" customWidth="1"/>
  </cols>
  <sheetData>
    <row r="1" spans="1:5" ht="15.75" hidden="1">
      <c r="A1" s="1" t="s">
        <v>0</v>
      </c>
      <c r="E1" s="18" t="s">
        <v>9</v>
      </c>
    </row>
    <row r="2" spans="1:5" ht="15.75" hidden="1">
      <c r="A2" s="1" t="s">
        <v>1</v>
      </c>
      <c r="E2" s="18" t="s">
        <v>11</v>
      </c>
    </row>
    <row r="3" spans="1:5" ht="15.75" hidden="1">
      <c r="A3" s="1" t="s">
        <v>2</v>
      </c>
      <c r="E3" s="18" t="s">
        <v>10</v>
      </c>
    </row>
    <row r="4" ht="15.75" hidden="1">
      <c r="A4" s="1" t="s">
        <v>3</v>
      </c>
    </row>
    <row r="5" ht="15" hidden="1"/>
    <row r="6" spans="1:5" ht="112.5" hidden="1">
      <c r="A6" s="2" t="s">
        <v>12</v>
      </c>
      <c r="B6" s="3"/>
      <c r="C6" s="3"/>
      <c r="D6" s="3"/>
      <c r="E6" s="20"/>
    </row>
    <row r="7" spans="1:5" ht="15" hidden="1">
      <c r="A7" s="3" t="s">
        <v>53</v>
      </c>
      <c r="B7" s="3"/>
      <c r="C7" s="3"/>
      <c r="D7" s="3"/>
      <c r="E7" s="21"/>
    </row>
    <row r="8" spans="1:6" ht="15.75" customHeight="1">
      <c r="A8" s="60" t="s">
        <v>0</v>
      </c>
      <c r="B8" s="61"/>
      <c r="C8" s="52"/>
      <c r="D8" s="53"/>
      <c r="E8" s="62" t="s">
        <v>9</v>
      </c>
      <c r="F8" s="63"/>
    </row>
    <row r="9" spans="1:6" ht="15">
      <c r="A9" s="61" t="s">
        <v>83</v>
      </c>
      <c r="B9" s="61"/>
      <c r="C9" s="52"/>
      <c r="D9" s="64" t="s">
        <v>114</v>
      </c>
      <c r="E9" s="63"/>
      <c r="F9" s="63"/>
    </row>
    <row r="10" spans="1:6" ht="15">
      <c r="A10" s="61" t="s">
        <v>84</v>
      </c>
      <c r="B10" s="61"/>
      <c r="C10" s="52"/>
      <c r="D10" s="64" t="s">
        <v>118</v>
      </c>
      <c r="E10" s="63"/>
      <c r="F10" s="63"/>
    </row>
    <row r="11" spans="1:5" ht="15">
      <c r="A11" s="61" t="s">
        <v>2</v>
      </c>
      <c r="B11" s="61"/>
      <c r="C11" s="52"/>
      <c r="D11" s="52"/>
      <c r="E11" s="21"/>
    </row>
    <row r="12" spans="1:5" ht="15" customHeight="1">
      <c r="A12" s="61" t="s">
        <v>134</v>
      </c>
      <c r="B12" s="61"/>
      <c r="C12" s="52"/>
      <c r="D12" s="52"/>
      <c r="E12" s="21"/>
    </row>
    <row r="13" spans="1:5" ht="15">
      <c r="A13" s="54"/>
      <c r="B13" s="54"/>
      <c r="C13" s="52"/>
      <c r="D13" s="52"/>
      <c r="E13" s="21"/>
    </row>
    <row r="14" spans="1:6" ht="15.75">
      <c r="A14" s="67" t="s">
        <v>86</v>
      </c>
      <c r="B14" s="67"/>
      <c r="C14" s="67"/>
      <c r="D14" s="67"/>
      <c r="E14" s="67"/>
      <c r="F14" s="67"/>
    </row>
    <row r="15" spans="1:6" ht="15.75">
      <c r="A15" s="67" t="s">
        <v>87</v>
      </c>
      <c r="B15" s="67"/>
      <c r="C15" s="67"/>
      <c r="D15" s="67"/>
      <c r="E15" s="67"/>
      <c r="F15" s="67"/>
    </row>
    <row r="16" spans="1:6" ht="15.75">
      <c r="A16" s="67" t="s">
        <v>88</v>
      </c>
      <c r="B16" s="67"/>
      <c r="C16" s="67"/>
      <c r="D16" s="67"/>
      <c r="E16" s="67"/>
      <c r="F16" s="67"/>
    </row>
    <row r="17" spans="1:6" ht="15">
      <c r="A17" s="80" t="s">
        <v>112</v>
      </c>
      <c r="B17" s="81"/>
      <c r="C17" s="81"/>
      <c r="D17" s="81"/>
      <c r="E17" s="81"/>
      <c r="F17" s="81"/>
    </row>
    <row r="18" spans="1:5" ht="15">
      <c r="A18" s="3"/>
      <c r="B18" s="3"/>
      <c r="C18" s="3"/>
      <c r="D18" s="3"/>
      <c r="E18" s="55"/>
    </row>
    <row r="19" spans="1:9" ht="28.5">
      <c r="A19" s="10" t="s">
        <v>47</v>
      </c>
      <c r="B19" s="3"/>
      <c r="C19" s="3"/>
      <c r="D19" s="3"/>
      <c r="E19" s="48"/>
      <c r="H19" s="51">
        <v>3547.26</v>
      </c>
      <c r="I19" s="31">
        <v>77549.72</v>
      </c>
    </row>
    <row r="20" ht="15">
      <c r="D20" s="16"/>
    </row>
    <row r="21" spans="1:42" ht="42" customHeight="1">
      <c r="A21" s="74" t="s">
        <v>8</v>
      </c>
      <c r="B21" s="74" t="s">
        <v>4</v>
      </c>
      <c r="C21" s="28" t="s">
        <v>5</v>
      </c>
      <c r="D21" s="75" t="s">
        <v>6</v>
      </c>
      <c r="E21" s="77" t="s">
        <v>7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3"/>
    </row>
    <row r="22" spans="1:42" ht="14.25" customHeight="1">
      <c r="A22" s="74"/>
      <c r="B22" s="74"/>
      <c r="C22" s="28"/>
      <c r="D22" s="76"/>
      <c r="E22" s="77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6"/>
    </row>
    <row r="23" spans="1:44" s="11" customFormat="1" ht="51">
      <c r="A23" s="23">
        <v>1</v>
      </c>
      <c r="B23" s="24" t="s">
        <v>13</v>
      </c>
      <c r="C23" s="25"/>
      <c r="D23" s="44">
        <f>D24+D25+D54+D55</f>
        <v>1667989.7457324155</v>
      </c>
      <c r="E23" s="50">
        <f>E24+E25+E54+E55</f>
        <v>39.18493301243812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6"/>
      <c r="AQ23" s="38"/>
      <c r="AR23" s="38"/>
    </row>
    <row r="24" spans="1:44" ht="51.75" customHeight="1">
      <c r="A24" s="8">
        <v>2</v>
      </c>
      <c r="B24" s="5" t="s">
        <v>45</v>
      </c>
      <c r="C24" s="13" t="s">
        <v>54</v>
      </c>
      <c r="D24" s="45">
        <f>1905742/77549.72*3547.26</f>
        <v>87171.97646774225</v>
      </c>
      <c r="E24" s="26">
        <f>D24/H19/12</f>
        <v>2.0478711378111143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6"/>
      <c r="AQ24" s="40"/>
      <c r="AR24" s="40"/>
    </row>
    <row r="25" spans="1:44" ht="25.5">
      <c r="A25" s="8">
        <v>3</v>
      </c>
      <c r="B25" s="5" t="s">
        <v>29</v>
      </c>
      <c r="C25" s="13"/>
      <c r="D25" s="45">
        <f>D26+D27+D28+D29+D30+D31+D32+D33+D34+D35+D36+D37+D38+D39+D40+D41+D42+D43+D44+D45+D46+D47+D48+D49+D50+D51+D52+D53+D54+D55+D56</f>
        <v>1580817.769264673</v>
      </c>
      <c r="E25" s="26">
        <f>SUM(E26:E56)</f>
        <v>37.13706187462701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0"/>
      <c r="AR25" s="40"/>
    </row>
    <row r="26" spans="1:44" ht="25.5">
      <c r="A26" s="9">
        <v>3.1</v>
      </c>
      <c r="B26" s="5" t="s">
        <v>14</v>
      </c>
      <c r="C26" s="13"/>
      <c r="D26" s="46"/>
      <c r="E26" s="27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6"/>
      <c r="AQ26" s="40"/>
      <c r="AR26" s="40"/>
    </row>
    <row r="27" spans="1:44" ht="24">
      <c r="A27" s="6">
        <v>3.2</v>
      </c>
      <c r="B27" s="5" t="s">
        <v>15</v>
      </c>
      <c r="C27" s="13" t="s">
        <v>57</v>
      </c>
      <c r="D27" s="46">
        <f>353626/77549.72*3547.26</f>
        <v>16175.472519565512</v>
      </c>
      <c r="E27" s="27">
        <f>D27/H19/12</f>
        <v>0.3799992228641616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36"/>
      <c r="AQ27" s="40"/>
      <c r="AR27" s="40"/>
    </row>
    <row r="28" spans="1:44" ht="25.5">
      <c r="A28" s="9">
        <v>3.3</v>
      </c>
      <c r="B28" s="5" t="s">
        <v>16</v>
      </c>
      <c r="C28" s="13" t="s">
        <v>59</v>
      </c>
      <c r="D28" s="46">
        <f>158201/77549.72*3547.26</f>
        <v>7236.390785937073</v>
      </c>
      <c r="E28" s="27">
        <f>D28/H19/12</f>
        <v>0.1699995392203436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36"/>
      <c r="AQ28" s="40"/>
      <c r="AR28" s="40"/>
    </row>
    <row r="29" spans="1:44" ht="34.5" customHeight="1">
      <c r="A29" s="6" t="s">
        <v>68</v>
      </c>
      <c r="B29" s="5" t="s">
        <v>17</v>
      </c>
      <c r="C29" s="13" t="s">
        <v>56</v>
      </c>
      <c r="D29" s="46"/>
      <c r="E29" s="27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6"/>
      <c r="AQ29" s="40"/>
      <c r="AR29" s="40"/>
    </row>
    <row r="30" spans="1:44" ht="34.5" customHeight="1">
      <c r="A30" s="6" t="s">
        <v>69</v>
      </c>
      <c r="B30" s="5" t="s">
        <v>70</v>
      </c>
      <c r="C30" s="13"/>
      <c r="D30" s="46"/>
      <c r="E30" s="27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6"/>
      <c r="AQ30" s="40"/>
      <c r="AR30" s="40"/>
    </row>
    <row r="31" spans="1:44" ht="41.25" customHeight="1">
      <c r="A31" s="6" t="s">
        <v>71</v>
      </c>
      <c r="B31" s="5" t="s">
        <v>72</v>
      </c>
      <c r="C31" s="13"/>
      <c r="D31" s="46"/>
      <c r="E31" s="27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6"/>
      <c r="AQ31" s="40"/>
      <c r="AR31" s="40"/>
    </row>
    <row r="32" spans="1:44" ht="25.5">
      <c r="A32" s="9">
        <v>3.7</v>
      </c>
      <c r="B32" s="5" t="s">
        <v>18</v>
      </c>
      <c r="C32" s="13" t="s">
        <v>57</v>
      </c>
      <c r="D32" s="46">
        <f>2345097/77549.72*3547.26</f>
        <v>107268.84357828759</v>
      </c>
      <c r="E32" s="27">
        <f>D32/H19/12</f>
        <v>2.5199929799875487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36"/>
      <c r="AQ32" s="40"/>
      <c r="AR32" s="40"/>
    </row>
    <row r="33" spans="1:44" ht="25.5">
      <c r="A33" s="6">
        <v>3.8</v>
      </c>
      <c r="B33" s="5" t="s">
        <v>64</v>
      </c>
      <c r="C33" s="13" t="s">
        <v>57</v>
      </c>
      <c r="D33" s="46">
        <f>651416/77549.72*3547.26</f>
        <v>29796.908617593977</v>
      </c>
      <c r="E33" s="27">
        <f>D33/H19/12</f>
        <v>0.6999982290931116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36"/>
      <c r="AQ33" s="40"/>
      <c r="AR33" s="40"/>
    </row>
    <row r="34" spans="1:44" ht="25.5">
      <c r="A34" s="9">
        <v>3.9</v>
      </c>
      <c r="B34" s="5" t="s">
        <v>19</v>
      </c>
      <c r="C34" s="13" t="s">
        <v>57</v>
      </c>
      <c r="D34" s="46">
        <f>697946/77549.72*3547.26</f>
        <v>31925.272302208185</v>
      </c>
      <c r="E34" s="27">
        <f>D34/H19/12</f>
        <v>0.7499984096224547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36"/>
      <c r="AQ34" s="40"/>
      <c r="AR34" s="40"/>
    </row>
    <row r="35" spans="1:44" ht="25.5">
      <c r="A35" s="6" t="s">
        <v>30</v>
      </c>
      <c r="B35" s="5" t="s">
        <v>65</v>
      </c>
      <c r="C35" s="13" t="s">
        <v>57</v>
      </c>
      <c r="D35" s="46"/>
      <c r="E35" s="27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36"/>
      <c r="AQ35" s="40"/>
      <c r="AR35" s="40"/>
    </row>
    <row r="36" spans="1:44" ht="25.5">
      <c r="A36" s="6" t="s">
        <v>31</v>
      </c>
      <c r="B36" s="5" t="s">
        <v>66</v>
      </c>
      <c r="C36" s="13"/>
      <c r="D36" s="46"/>
      <c r="E36" s="27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36"/>
      <c r="AQ36" s="40"/>
      <c r="AR36" s="40"/>
    </row>
    <row r="37" spans="1:44" ht="40.5" customHeight="1">
      <c r="A37" s="6" t="s">
        <v>32</v>
      </c>
      <c r="B37" s="5" t="s">
        <v>20</v>
      </c>
      <c r="C37" s="13"/>
      <c r="D37" s="46"/>
      <c r="E37" s="27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36"/>
      <c r="AQ37" s="40"/>
      <c r="AR37" s="40"/>
    </row>
    <row r="38" spans="1:44" ht="51">
      <c r="A38" s="6" t="s">
        <v>33</v>
      </c>
      <c r="B38" s="5" t="s">
        <v>21</v>
      </c>
      <c r="C38" s="13" t="s">
        <v>58</v>
      </c>
      <c r="D38" s="46">
        <f>2373015/77549.72*3547.26</f>
        <v>108545.86178905611</v>
      </c>
      <c r="E38" s="27">
        <f>D38/H19/12</f>
        <v>2.5499930883051545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36"/>
      <c r="AQ38" s="40"/>
      <c r="AR38" s="40"/>
    </row>
    <row r="39" spans="1:44" ht="33" customHeight="1">
      <c r="A39" s="6" t="s">
        <v>34</v>
      </c>
      <c r="B39" s="5" t="s">
        <v>73</v>
      </c>
      <c r="C39" s="13"/>
      <c r="D39" s="46"/>
      <c r="E39" s="27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36"/>
      <c r="AQ39" s="40"/>
      <c r="AR39" s="40"/>
    </row>
    <row r="40" spans="1:44" ht="41.25" customHeight="1">
      <c r="A40" s="6" t="s">
        <v>35</v>
      </c>
      <c r="B40" s="5" t="s">
        <v>22</v>
      </c>
      <c r="C40" s="13"/>
      <c r="D40" s="46"/>
      <c r="E40" s="27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36"/>
      <c r="AQ40" s="40"/>
      <c r="AR40" s="40"/>
    </row>
    <row r="41" spans="1:44" ht="41.25" customHeight="1">
      <c r="A41" s="6" t="s">
        <v>36</v>
      </c>
      <c r="B41" s="5" t="s">
        <v>74</v>
      </c>
      <c r="C41" s="13"/>
      <c r="D41" s="46"/>
      <c r="E41" s="27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36"/>
      <c r="AQ41" s="40"/>
      <c r="AR41" s="40"/>
    </row>
    <row r="42" spans="1:44" ht="40.5" customHeight="1">
      <c r="A42" s="6" t="s">
        <v>37</v>
      </c>
      <c r="B42" s="5" t="s">
        <v>75</v>
      </c>
      <c r="C42" s="13" t="s">
        <v>54</v>
      </c>
      <c r="D42" s="47">
        <f>2696000/77549.72*3547.26</f>
        <v>123319.7613092607</v>
      </c>
      <c r="E42" s="27">
        <f>D42/H19/12</f>
        <v>2.8970661230842185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36"/>
      <c r="AQ42" s="40"/>
      <c r="AR42" s="40"/>
    </row>
    <row r="43" spans="1:44" ht="51">
      <c r="A43" s="6" t="s">
        <v>38</v>
      </c>
      <c r="B43" s="5" t="s">
        <v>67</v>
      </c>
      <c r="C43" s="13"/>
      <c r="D43" s="46"/>
      <c r="E43" s="27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36"/>
      <c r="AQ43" s="40"/>
      <c r="AR43" s="40"/>
    </row>
    <row r="44" spans="1:44" ht="40.5" customHeight="1">
      <c r="A44" s="6" t="s">
        <v>39</v>
      </c>
      <c r="B44" s="5" t="s">
        <v>76</v>
      </c>
      <c r="C44" s="13"/>
      <c r="D44" s="46"/>
      <c r="E44" s="27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36"/>
      <c r="AQ44" s="40"/>
      <c r="AR44" s="40"/>
    </row>
    <row r="45" spans="1:44" ht="39" customHeight="1">
      <c r="A45" s="6" t="s">
        <v>40</v>
      </c>
      <c r="B45" s="5" t="s">
        <v>77</v>
      </c>
      <c r="C45" s="13" t="s">
        <v>54</v>
      </c>
      <c r="D45" s="29">
        <f>1448000/77549.72*3547.26</f>
        <v>66234.0557773774</v>
      </c>
      <c r="E45" s="27">
        <f>D45/H19/12</f>
        <v>1.5559910037930074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36"/>
      <c r="AQ45" s="40"/>
      <c r="AR45" s="40"/>
    </row>
    <row r="46" spans="1:44" ht="39" customHeight="1">
      <c r="A46" s="6" t="s">
        <v>41</v>
      </c>
      <c r="B46" s="5" t="s">
        <v>78</v>
      </c>
      <c r="C46" s="13"/>
      <c r="D46" s="29"/>
      <c r="E46" s="27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36"/>
      <c r="AQ46" s="40"/>
      <c r="AR46" s="40"/>
    </row>
    <row r="47" spans="1:44" ht="25.5">
      <c r="A47" s="6" t="s">
        <v>42</v>
      </c>
      <c r="B47" s="5" t="s">
        <v>62</v>
      </c>
      <c r="C47" s="13" t="s">
        <v>54</v>
      </c>
      <c r="D47" s="46"/>
      <c r="E47" s="27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36"/>
      <c r="AQ47" s="40"/>
      <c r="AR47" s="40"/>
    </row>
    <row r="48" spans="1:44" ht="25.5">
      <c r="A48" s="6" t="s">
        <v>43</v>
      </c>
      <c r="B48" s="7" t="s">
        <v>63</v>
      </c>
      <c r="C48" s="13" t="s">
        <v>54</v>
      </c>
      <c r="D48" s="46">
        <f>13972201/77549.72*3547.26</f>
        <v>639112.9422422157</v>
      </c>
      <c r="E48" s="27">
        <f>D48/H19/12</f>
        <v>15.014239681759435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36"/>
      <c r="AQ48" s="40"/>
      <c r="AR48" s="40"/>
    </row>
    <row r="49" spans="1:44" ht="25.5">
      <c r="A49" s="6" t="s">
        <v>46</v>
      </c>
      <c r="B49" s="5" t="s">
        <v>23</v>
      </c>
      <c r="C49" s="13" t="s">
        <v>60</v>
      </c>
      <c r="D49" s="46">
        <f>465297/77549.72*3547.26</f>
        <v>21283.49962088838</v>
      </c>
      <c r="E49" s="27">
        <f>D49/H19/12</f>
        <v>0.49999858155516225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36"/>
      <c r="AQ49" s="40"/>
      <c r="AR49" s="40"/>
    </row>
    <row r="50" spans="1:44" ht="25.5">
      <c r="A50" s="6" t="s">
        <v>79</v>
      </c>
      <c r="B50" s="5" t="s">
        <v>24</v>
      </c>
      <c r="C50" s="13" t="s">
        <v>61</v>
      </c>
      <c r="D50" s="46">
        <f>5667319/77549.72*3547.26</f>
        <v>259233.09582471737</v>
      </c>
      <c r="E50" s="27">
        <f>D50/H19/12</f>
        <v>6.089984378194187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36"/>
      <c r="AQ50" s="40"/>
      <c r="AR50" s="40"/>
    </row>
    <row r="51" spans="1:44" ht="38.25">
      <c r="A51" s="6" t="s">
        <v>80</v>
      </c>
      <c r="B51" s="5" t="s">
        <v>25</v>
      </c>
      <c r="C51" s="17" t="s">
        <v>55</v>
      </c>
      <c r="D51" s="29">
        <f>2308000/77549.72*3547.26</f>
        <v>105571.9618330021</v>
      </c>
      <c r="E51" s="27">
        <f>D51/H19/12</f>
        <v>2.4801293071507327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36"/>
      <c r="AQ51" s="40"/>
      <c r="AR51" s="40"/>
    </row>
    <row r="52" spans="1:44" ht="25.5">
      <c r="A52" s="6" t="s">
        <v>81</v>
      </c>
      <c r="B52" s="5" t="s">
        <v>26</v>
      </c>
      <c r="C52" s="13" t="s">
        <v>54</v>
      </c>
      <c r="D52" s="29">
        <f>9000/77549.72*3547.26</f>
        <v>411.67576104723526</v>
      </c>
      <c r="E52" s="27">
        <f>D52/H19/12</f>
        <v>0.009671214802580848</v>
      </c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36"/>
      <c r="AQ52" s="40"/>
      <c r="AR52" s="40"/>
    </row>
    <row r="53" spans="1:44" ht="38.25">
      <c r="A53" s="6" t="s">
        <v>82</v>
      </c>
      <c r="B53" s="5" t="s">
        <v>27</v>
      </c>
      <c r="C53" s="14" t="s">
        <v>54</v>
      </c>
      <c r="D53" s="29">
        <f>1414507/77549.72*3547.26</f>
        <v>64702.027303515744</v>
      </c>
      <c r="E53" s="27">
        <f>D53/H19/12</f>
        <v>1.5200001151949143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36"/>
      <c r="AQ53" s="40"/>
      <c r="AR53" s="40"/>
    </row>
    <row r="54" spans="1:44" ht="25.5">
      <c r="A54" s="6" t="s">
        <v>44</v>
      </c>
      <c r="B54" s="5" t="s">
        <v>28</v>
      </c>
      <c r="C54" s="15" t="s">
        <v>54</v>
      </c>
      <c r="D54" s="46"/>
      <c r="E54" s="27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36"/>
      <c r="AQ54" s="40"/>
      <c r="AR54" s="40"/>
    </row>
    <row r="55" spans="1:44" ht="38.25">
      <c r="A55" s="6" t="s">
        <v>48</v>
      </c>
      <c r="B55" s="5" t="s">
        <v>49</v>
      </c>
      <c r="C55" s="13" t="s">
        <v>52</v>
      </c>
      <c r="D55" s="46"/>
      <c r="E55" s="27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36"/>
      <c r="AQ55" s="40"/>
      <c r="AR55" s="40"/>
    </row>
    <row r="56" spans="1:44" ht="38.25">
      <c r="A56" s="6" t="s">
        <v>50</v>
      </c>
      <c r="B56" s="5" t="s">
        <v>51</v>
      </c>
      <c r="C56" s="13" t="s">
        <v>52</v>
      </c>
      <c r="D56" s="46"/>
      <c r="E56" s="27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36"/>
      <c r="AQ56" s="40"/>
      <c r="AR56" s="40"/>
    </row>
    <row r="57" spans="4:5" ht="15">
      <c r="D57" s="12"/>
      <c r="E57" s="22"/>
    </row>
    <row r="58" spans="4:5" ht="15">
      <c r="D58" s="12"/>
      <c r="E58" s="22"/>
    </row>
    <row r="59" spans="4:5" ht="15">
      <c r="D59" s="12"/>
      <c r="E59" s="22"/>
    </row>
    <row r="60" spans="4:5" ht="15">
      <c r="D60" s="12"/>
      <c r="E60" s="22"/>
    </row>
    <row r="61" spans="4:5" ht="15">
      <c r="D61" s="12"/>
      <c r="E61" s="22"/>
    </row>
    <row r="62" spans="4:5" ht="15">
      <c r="D62" s="12"/>
      <c r="E62" s="22"/>
    </row>
    <row r="63" spans="4:5" ht="15">
      <c r="D63" s="12"/>
      <c r="E63" s="22"/>
    </row>
    <row r="64" spans="4:5" ht="15">
      <c r="D64" s="12"/>
      <c r="E64" s="22"/>
    </row>
    <row r="65" spans="4:5" ht="15">
      <c r="D65" s="12"/>
      <c r="E65" s="22"/>
    </row>
    <row r="66" spans="4:5" ht="15">
      <c r="D66" s="12"/>
      <c r="E66" s="22"/>
    </row>
    <row r="67" spans="4:5" ht="15">
      <c r="D67" s="12"/>
      <c r="E67" s="22"/>
    </row>
    <row r="68" spans="4:5" ht="15">
      <c r="D68" s="12"/>
      <c r="E68" s="22"/>
    </row>
    <row r="69" spans="4:5" ht="15">
      <c r="D69" s="12"/>
      <c r="E69" s="22"/>
    </row>
    <row r="70" spans="4:5" ht="15">
      <c r="D70" s="12"/>
      <c r="E70" s="22"/>
    </row>
    <row r="71" spans="4:5" ht="15">
      <c r="D71" s="12"/>
      <c r="E71" s="22"/>
    </row>
    <row r="72" spans="4:5" ht="15">
      <c r="D72" s="12"/>
      <c r="E72" s="22"/>
    </row>
    <row r="73" spans="4:5" ht="15">
      <c r="D73" s="12"/>
      <c r="E73" s="22"/>
    </row>
    <row r="74" spans="4:5" ht="15">
      <c r="D74" s="12"/>
      <c r="E74" s="22"/>
    </row>
    <row r="75" spans="4:5" ht="15">
      <c r="D75" s="12"/>
      <c r="E75" s="22"/>
    </row>
    <row r="76" spans="4:5" ht="15">
      <c r="D76" s="12"/>
      <c r="E76" s="22"/>
    </row>
    <row r="77" spans="4:5" ht="15">
      <c r="D77" s="12"/>
      <c r="E77" s="22"/>
    </row>
    <row r="78" spans="4:5" ht="15">
      <c r="D78" s="12"/>
      <c r="E78" s="22"/>
    </row>
    <row r="79" spans="4:5" ht="15">
      <c r="D79" s="12"/>
      <c r="E79" s="22"/>
    </row>
    <row r="80" spans="4:5" ht="15">
      <c r="D80" s="12"/>
      <c r="E80" s="22"/>
    </row>
    <row r="81" spans="4:5" ht="15">
      <c r="D81" s="12"/>
      <c r="E81" s="22"/>
    </row>
    <row r="82" spans="4:5" ht="15">
      <c r="D82" s="12"/>
      <c r="E82" s="22"/>
    </row>
    <row r="83" spans="4:5" ht="15">
      <c r="D83" s="12"/>
      <c r="E83" s="22"/>
    </row>
    <row r="84" spans="4:5" ht="15">
      <c r="D84" s="12"/>
      <c r="E84" s="22"/>
    </row>
    <row r="85" spans="4:5" ht="15">
      <c r="D85" s="12"/>
      <c r="E85" s="22"/>
    </row>
    <row r="86" spans="4:5" ht="15">
      <c r="D86" s="12"/>
      <c r="E86" s="22"/>
    </row>
    <row r="87" spans="4:5" ht="15">
      <c r="D87" s="12"/>
      <c r="E87" s="22"/>
    </row>
    <row r="88" spans="4:5" ht="15">
      <c r="D88" s="12"/>
      <c r="E88" s="22"/>
    </row>
    <row r="89" spans="4:5" ht="15">
      <c r="D89" s="12"/>
      <c r="E89" s="22"/>
    </row>
    <row r="90" spans="4:5" ht="15">
      <c r="D90" s="12"/>
      <c r="E90" s="22"/>
    </row>
    <row r="91" spans="4:5" ht="15">
      <c r="D91" s="12"/>
      <c r="E91" s="22"/>
    </row>
    <row r="92" spans="4:5" ht="15">
      <c r="D92" s="12"/>
      <c r="E92" s="22"/>
    </row>
    <row r="93" spans="4:5" ht="15">
      <c r="D93" s="12"/>
      <c r="E93" s="22"/>
    </row>
    <row r="94" spans="4:5" ht="15">
      <c r="D94" s="12"/>
      <c r="E94" s="22"/>
    </row>
    <row r="95" spans="4:5" ht="15">
      <c r="D95" s="12"/>
      <c r="E95" s="22"/>
    </row>
    <row r="96" spans="4:5" ht="15">
      <c r="D96" s="12"/>
      <c r="E96" s="22"/>
    </row>
    <row r="97" spans="4:5" ht="15">
      <c r="D97" s="12"/>
      <c r="E97" s="22"/>
    </row>
    <row r="98" spans="4:5" ht="15">
      <c r="D98" s="12"/>
      <c r="E98" s="22"/>
    </row>
    <row r="99" spans="4:5" ht="15">
      <c r="D99" s="12"/>
      <c r="E99" s="22"/>
    </row>
    <row r="100" spans="4:5" ht="15">
      <c r="D100" s="12"/>
      <c r="E100" s="22"/>
    </row>
    <row r="101" spans="4:5" ht="15">
      <c r="D101" s="12"/>
      <c r="E101" s="22"/>
    </row>
    <row r="102" spans="4:5" ht="15">
      <c r="D102" s="12"/>
      <c r="E102" s="22"/>
    </row>
    <row r="103" spans="4:5" ht="15">
      <c r="D103" s="12"/>
      <c r="E103" s="22"/>
    </row>
    <row r="104" spans="4:5" ht="15">
      <c r="D104" s="12"/>
      <c r="E104" s="22"/>
    </row>
    <row r="105" spans="4:5" ht="15">
      <c r="D105" s="12"/>
      <c r="E105" s="22"/>
    </row>
    <row r="106" spans="4:5" ht="15">
      <c r="D106" s="12"/>
      <c r="E106" s="22"/>
    </row>
    <row r="107" spans="4:5" ht="15">
      <c r="D107" s="12"/>
      <c r="E107" s="22"/>
    </row>
    <row r="108" spans="4:5" ht="15">
      <c r="D108" s="12"/>
      <c r="E108" s="22"/>
    </row>
    <row r="109" spans="4:5" ht="15">
      <c r="D109" s="12"/>
      <c r="E109" s="22"/>
    </row>
    <row r="110" spans="4:5" ht="15">
      <c r="D110" s="12"/>
      <c r="E110" s="22"/>
    </row>
    <row r="111" spans="4:5" ht="15">
      <c r="D111" s="12"/>
      <c r="E111" s="22"/>
    </row>
    <row r="112" spans="4:5" ht="15">
      <c r="D112" s="12"/>
      <c r="E112" s="22"/>
    </row>
    <row r="113" spans="4:5" ht="15">
      <c r="D113" s="12"/>
      <c r="E113" s="22"/>
    </row>
    <row r="114" spans="4:5" ht="15">
      <c r="D114" s="12"/>
      <c r="E114" s="22"/>
    </row>
    <row r="115" spans="4:5" ht="15">
      <c r="D115" s="12"/>
      <c r="E115" s="22"/>
    </row>
    <row r="116" spans="4:5" ht="15">
      <c r="D116" s="12"/>
      <c r="E116" s="22"/>
    </row>
    <row r="117" spans="4:5" ht="15">
      <c r="D117" s="12"/>
      <c r="E117" s="22"/>
    </row>
    <row r="118" spans="4:5" ht="15">
      <c r="D118" s="12"/>
      <c r="E118" s="22"/>
    </row>
    <row r="119" spans="4:5" ht="15">
      <c r="D119" s="12"/>
      <c r="E119" s="22"/>
    </row>
    <row r="120" spans="4:5" ht="15">
      <c r="D120" s="12"/>
      <c r="E120" s="22"/>
    </row>
    <row r="121" spans="4:5" ht="15">
      <c r="D121" s="12"/>
      <c r="E121" s="22"/>
    </row>
    <row r="122" spans="4:5" ht="15">
      <c r="D122" s="12"/>
      <c r="E122" s="22"/>
    </row>
    <row r="123" spans="4:5" ht="15">
      <c r="D123" s="12"/>
      <c r="E123" s="22"/>
    </row>
    <row r="124" spans="4:5" ht="15">
      <c r="D124" s="12"/>
      <c r="E124" s="22"/>
    </row>
    <row r="125" spans="4:5" ht="15">
      <c r="D125" s="12"/>
      <c r="E125" s="22"/>
    </row>
    <row r="126" spans="4:5" ht="15">
      <c r="D126" s="12"/>
      <c r="E126" s="22"/>
    </row>
    <row r="127" spans="4:5" ht="15">
      <c r="D127" s="12"/>
      <c r="E127" s="22"/>
    </row>
    <row r="128" spans="4:5" ht="15">
      <c r="D128" s="12"/>
      <c r="E128" s="22"/>
    </row>
    <row r="129" spans="4:5" ht="15">
      <c r="D129" s="12"/>
      <c r="E129" s="22"/>
    </row>
    <row r="130" spans="4:5" ht="15">
      <c r="D130" s="12"/>
      <c r="E130" s="22"/>
    </row>
  </sheetData>
  <sheetProtection/>
  <mergeCells count="16">
    <mergeCell ref="A14:F14"/>
    <mergeCell ref="A15:F15"/>
    <mergeCell ref="A21:A22"/>
    <mergeCell ref="B21:B22"/>
    <mergeCell ref="D21:D22"/>
    <mergeCell ref="E21:E22"/>
    <mergeCell ref="A16:F16"/>
    <mergeCell ref="A17:F17"/>
    <mergeCell ref="A8:B8"/>
    <mergeCell ref="E8:F8"/>
    <mergeCell ref="A9:B9"/>
    <mergeCell ref="D9:F9"/>
    <mergeCell ref="A10:B10"/>
    <mergeCell ref="D10:F10"/>
    <mergeCell ref="A11:B11"/>
    <mergeCell ref="A12:B12"/>
  </mergeCells>
  <printOptions/>
  <pageMargins left="1.1811023622047245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R130"/>
  <sheetViews>
    <sheetView zoomScalePageLayoutView="0" workbookViewId="0" topLeftCell="A8">
      <selection activeCell="A12" sqref="A12:B12"/>
    </sheetView>
  </sheetViews>
  <sheetFormatPr defaultColWidth="9.140625" defaultRowHeight="15"/>
  <cols>
    <col min="1" max="1" width="5.8515625" style="4" customWidth="1"/>
    <col min="2" max="2" width="38.00390625" style="4" customWidth="1"/>
    <col min="3" max="3" width="17.7109375" style="4" hidden="1" customWidth="1"/>
    <col min="4" max="4" width="14.28125" style="4" customWidth="1"/>
    <col min="5" max="5" width="13.7109375" style="19" customWidth="1"/>
    <col min="6" max="6" width="10.140625" style="30" customWidth="1"/>
    <col min="7" max="7" width="10.57421875" style="31" customWidth="1"/>
    <col min="8" max="8" width="10.421875" style="31" customWidth="1"/>
    <col min="9" max="9" width="10.00390625" style="31" customWidth="1"/>
    <col min="10" max="10" width="9.8515625" style="31" customWidth="1"/>
    <col min="11" max="11" width="9.28125" style="31" customWidth="1"/>
    <col min="12" max="14" width="9.8515625" style="31" customWidth="1"/>
    <col min="15" max="23" width="9.8515625" style="31" hidden="1" customWidth="1"/>
    <col min="24" max="39" width="9.8515625" style="31" customWidth="1"/>
    <col min="40" max="40" width="11.421875" style="31" customWidth="1"/>
    <col min="41" max="41" width="11.00390625" style="31" customWidth="1"/>
    <col min="42" max="42" width="11.140625" style="31" customWidth="1"/>
    <col min="43" max="44" width="9.140625" style="31" customWidth="1"/>
    <col min="45" max="16384" width="9.140625" style="4" customWidth="1"/>
  </cols>
  <sheetData>
    <row r="1" spans="1:5" ht="15.75" hidden="1">
      <c r="A1" s="1" t="s">
        <v>0</v>
      </c>
      <c r="E1" s="18" t="s">
        <v>9</v>
      </c>
    </row>
    <row r="2" spans="1:5" ht="15.75" hidden="1">
      <c r="A2" s="1" t="s">
        <v>1</v>
      </c>
      <c r="E2" s="18" t="s">
        <v>11</v>
      </c>
    </row>
    <row r="3" spans="1:5" ht="15.75" hidden="1">
      <c r="A3" s="1" t="s">
        <v>2</v>
      </c>
      <c r="E3" s="18" t="s">
        <v>10</v>
      </c>
    </row>
    <row r="4" ht="15.75" hidden="1">
      <c r="A4" s="1" t="s">
        <v>3</v>
      </c>
    </row>
    <row r="5" ht="15" hidden="1"/>
    <row r="6" spans="1:5" ht="112.5" hidden="1">
      <c r="A6" s="2" t="s">
        <v>12</v>
      </c>
      <c r="B6" s="3"/>
      <c r="C6" s="3"/>
      <c r="D6" s="3"/>
      <c r="E6" s="20"/>
    </row>
    <row r="7" spans="1:5" ht="15" hidden="1">
      <c r="A7" s="3" t="s">
        <v>53</v>
      </c>
      <c r="B7" s="3"/>
      <c r="C7" s="3"/>
      <c r="D7" s="3"/>
      <c r="E7" s="21"/>
    </row>
    <row r="8" spans="1:6" ht="15.75" customHeight="1">
      <c r="A8" s="60" t="s">
        <v>0</v>
      </c>
      <c r="B8" s="61"/>
      <c r="C8" s="52"/>
      <c r="D8" s="53"/>
      <c r="E8" s="62" t="s">
        <v>9</v>
      </c>
      <c r="F8" s="63"/>
    </row>
    <row r="9" spans="1:6" ht="15">
      <c r="A9" s="61" t="s">
        <v>83</v>
      </c>
      <c r="B9" s="61"/>
      <c r="C9" s="52"/>
      <c r="D9" s="64" t="s">
        <v>114</v>
      </c>
      <c r="E9" s="63"/>
      <c r="F9" s="63"/>
    </row>
    <row r="10" spans="1:6" ht="15">
      <c r="A10" s="61" t="s">
        <v>84</v>
      </c>
      <c r="B10" s="61"/>
      <c r="C10" s="52"/>
      <c r="D10" s="64" t="s">
        <v>118</v>
      </c>
      <c r="E10" s="63"/>
      <c r="F10" s="63"/>
    </row>
    <row r="11" spans="1:5" ht="15">
      <c r="A11" s="61" t="s">
        <v>2</v>
      </c>
      <c r="B11" s="61"/>
      <c r="C11" s="52"/>
      <c r="D11" s="52"/>
      <c r="E11" s="21"/>
    </row>
    <row r="12" spans="1:5" ht="15" customHeight="1">
      <c r="A12" s="61" t="s">
        <v>135</v>
      </c>
      <c r="B12" s="61"/>
      <c r="C12" s="52"/>
      <c r="D12" s="52"/>
      <c r="E12" s="21"/>
    </row>
    <row r="13" spans="1:5" ht="15">
      <c r="A13" s="54"/>
      <c r="B13" s="54"/>
      <c r="C13" s="52"/>
      <c r="D13" s="52"/>
      <c r="E13" s="21"/>
    </row>
    <row r="14" spans="1:6" ht="15.75">
      <c r="A14" s="67" t="s">
        <v>86</v>
      </c>
      <c r="B14" s="67"/>
      <c r="C14" s="67"/>
      <c r="D14" s="67"/>
      <c r="E14" s="67"/>
      <c r="F14" s="67"/>
    </row>
    <row r="15" spans="1:6" ht="15.75">
      <c r="A15" s="67" t="s">
        <v>87</v>
      </c>
      <c r="B15" s="67"/>
      <c r="C15" s="67"/>
      <c r="D15" s="67"/>
      <c r="E15" s="67"/>
      <c r="F15" s="67"/>
    </row>
    <row r="16" spans="1:6" ht="15.75">
      <c r="A16" s="67" t="s">
        <v>88</v>
      </c>
      <c r="B16" s="67"/>
      <c r="C16" s="67"/>
      <c r="D16" s="67"/>
      <c r="E16" s="67"/>
      <c r="F16" s="67"/>
    </row>
    <row r="17" spans="1:6" ht="15">
      <c r="A17" s="80" t="s">
        <v>113</v>
      </c>
      <c r="B17" s="81"/>
      <c r="C17" s="81"/>
      <c r="D17" s="81"/>
      <c r="E17" s="81"/>
      <c r="F17" s="81"/>
    </row>
    <row r="18" spans="1:5" ht="15">
      <c r="A18" s="3"/>
      <c r="B18" s="3"/>
      <c r="C18" s="3"/>
      <c r="D18" s="3"/>
      <c r="E18" s="55"/>
    </row>
    <row r="19" spans="1:9" ht="28.5">
      <c r="A19" s="10" t="s">
        <v>47</v>
      </c>
      <c r="B19" s="3"/>
      <c r="C19" s="3"/>
      <c r="D19" s="3"/>
      <c r="E19" s="48"/>
      <c r="H19" s="51">
        <v>5850.8</v>
      </c>
      <c r="I19" s="31">
        <v>77549.72</v>
      </c>
    </row>
    <row r="20" ht="15">
      <c r="D20" s="16"/>
    </row>
    <row r="21" spans="1:42" ht="42" customHeight="1">
      <c r="A21" s="74" t="s">
        <v>8</v>
      </c>
      <c r="B21" s="74" t="s">
        <v>4</v>
      </c>
      <c r="C21" s="28" t="s">
        <v>5</v>
      </c>
      <c r="D21" s="75" t="s">
        <v>6</v>
      </c>
      <c r="E21" s="77" t="s">
        <v>7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3"/>
    </row>
    <row r="22" spans="1:42" ht="14.25" customHeight="1">
      <c r="A22" s="74"/>
      <c r="B22" s="74"/>
      <c r="C22" s="28"/>
      <c r="D22" s="76"/>
      <c r="E22" s="77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6"/>
    </row>
    <row r="23" spans="1:44" s="11" customFormat="1" ht="51">
      <c r="A23" s="23">
        <v>1</v>
      </c>
      <c r="B23" s="24" t="s">
        <v>13</v>
      </c>
      <c r="C23" s="25"/>
      <c r="D23" s="44">
        <f>D24+D25+D54+D55</f>
        <v>3448160.040406227</v>
      </c>
      <c r="E23" s="50">
        <f>E24+E25+E54+E55</f>
        <v>49.11237267277163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6"/>
      <c r="AQ23" s="38"/>
      <c r="AR23" s="38"/>
    </row>
    <row r="24" spans="1:44" ht="51.75" customHeight="1">
      <c r="A24" s="8">
        <v>2</v>
      </c>
      <c r="B24" s="5" t="s">
        <v>45</v>
      </c>
      <c r="C24" s="13" t="s">
        <v>54</v>
      </c>
      <c r="D24" s="45">
        <f>1905742.15/77549.72*5850.8</f>
        <v>143780.22475413192</v>
      </c>
      <c r="E24" s="26">
        <f>D24/H19/12</f>
        <v>2.0478712989980274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6"/>
      <c r="AQ24" s="40"/>
      <c r="AR24" s="40"/>
    </row>
    <row r="25" spans="1:44" ht="25.5">
      <c r="A25" s="8">
        <v>3</v>
      </c>
      <c r="B25" s="5" t="s">
        <v>29</v>
      </c>
      <c r="C25" s="13"/>
      <c r="D25" s="45">
        <f>D27+D28+D29+D30+D31+D32+D33+D34+D35+D36+D37+D38+D39+D40+D41+D42+D43+D44+D45+D46+D47+D48+D49+D50+D51+D52+D53+D54</f>
        <v>3304379.8156520952</v>
      </c>
      <c r="E25" s="45">
        <f>E27+E28+E29+E30+E31+E32+E33+E34+E35+E36+E37+E38+E39+E40+E41+E42+E43+E44+E45+E46+E47+E48+E49+E50+E51+E52+E53+E54</f>
        <v>47.0645013737736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0"/>
      <c r="AR25" s="40"/>
    </row>
    <row r="26" spans="1:44" ht="25.5">
      <c r="A26" s="9">
        <v>3.1</v>
      </c>
      <c r="B26" s="5" t="s">
        <v>14</v>
      </c>
      <c r="C26" s="13"/>
      <c r="D26" s="46"/>
      <c r="E26" s="27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6"/>
      <c r="AQ26" s="40"/>
      <c r="AR26" s="40"/>
    </row>
    <row r="27" spans="1:44" ht="24">
      <c r="A27" s="6">
        <v>3.2</v>
      </c>
      <c r="B27" s="5" t="s">
        <v>15</v>
      </c>
      <c r="C27" s="13" t="s">
        <v>57</v>
      </c>
      <c r="D27" s="46">
        <f>353626/77549.72*5850.8</f>
        <v>26679.593437603642</v>
      </c>
      <c r="E27" s="27">
        <f>D27/H19/12</f>
        <v>0.3799992228641616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36"/>
      <c r="AQ27" s="40"/>
      <c r="AR27" s="40"/>
    </row>
    <row r="28" spans="1:44" ht="25.5">
      <c r="A28" s="9">
        <v>3.3</v>
      </c>
      <c r="B28" s="5" t="s">
        <v>16</v>
      </c>
      <c r="C28" s="13" t="s">
        <v>59</v>
      </c>
      <c r="D28" s="46">
        <f>158201/77549.72*5850.8</f>
        <v>11935.599648844636</v>
      </c>
      <c r="E28" s="27">
        <f>D28/H19/12</f>
        <v>0.1699995392203436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36"/>
      <c r="AQ28" s="40"/>
      <c r="AR28" s="40"/>
    </row>
    <row r="29" spans="1:44" ht="34.5" customHeight="1">
      <c r="A29" s="6" t="s">
        <v>68</v>
      </c>
      <c r="B29" s="5" t="s">
        <v>17</v>
      </c>
      <c r="C29" s="13" t="s">
        <v>56</v>
      </c>
      <c r="D29" s="46"/>
      <c r="E29" s="27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6"/>
      <c r="AQ29" s="40"/>
      <c r="AR29" s="40"/>
    </row>
    <row r="30" spans="1:44" ht="34.5" customHeight="1">
      <c r="A30" s="6" t="s">
        <v>69</v>
      </c>
      <c r="B30" s="5" t="s">
        <v>70</v>
      </c>
      <c r="C30" s="13"/>
      <c r="D30" s="46"/>
      <c r="E30" s="27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6"/>
      <c r="AQ30" s="40"/>
      <c r="AR30" s="40"/>
    </row>
    <row r="31" spans="1:44" ht="41.25" customHeight="1">
      <c r="A31" s="6" t="s">
        <v>71</v>
      </c>
      <c r="B31" s="5" t="s">
        <v>72</v>
      </c>
      <c r="C31" s="13"/>
      <c r="D31" s="46"/>
      <c r="E31" s="27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6"/>
      <c r="AQ31" s="40"/>
      <c r="AR31" s="40"/>
    </row>
    <row r="32" spans="1:44" ht="25.5">
      <c r="A32" s="9">
        <v>3.7</v>
      </c>
      <c r="B32" s="5" t="s">
        <v>18</v>
      </c>
      <c r="C32" s="13" t="s">
        <v>57</v>
      </c>
      <c r="D32" s="46">
        <f>2345097/77549.72*5850.8</f>
        <v>176927.6991277338</v>
      </c>
      <c r="E32" s="27">
        <f>D32/H19/12</f>
        <v>2.5199929799875487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36"/>
      <c r="AQ32" s="40"/>
      <c r="AR32" s="40"/>
    </row>
    <row r="33" spans="1:44" ht="25.5">
      <c r="A33" s="6">
        <v>3.8</v>
      </c>
      <c r="B33" s="5" t="s">
        <v>64</v>
      </c>
      <c r="C33" s="13" t="s">
        <v>57</v>
      </c>
      <c r="D33" s="46">
        <f>651416/77549.72*5850.8</f>
        <v>49146.595665335735</v>
      </c>
      <c r="E33" s="27">
        <f>D33/H19/12</f>
        <v>0.6999982290931116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36"/>
      <c r="AQ33" s="40"/>
      <c r="AR33" s="40"/>
    </row>
    <row r="34" spans="1:44" ht="25.5">
      <c r="A34" s="9">
        <v>3.9</v>
      </c>
      <c r="B34" s="5" t="s">
        <v>19</v>
      </c>
      <c r="C34" s="13" t="s">
        <v>57</v>
      </c>
      <c r="D34" s="46">
        <f>697946/77549.72*5850.8</f>
        <v>52657.08834022869</v>
      </c>
      <c r="E34" s="27">
        <f>D34/H19/12</f>
        <v>0.7499984096224547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36"/>
      <c r="AQ34" s="40"/>
      <c r="AR34" s="40"/>
    </row>
    <row r="35" spans="1:44" ht="25.5">
      <c r="A35" s="6" t="s">
        <v>30</v>
      </c>
      <c r="B35" s="5" t="s">
        <v>65</v>
      </c>
      <c r="C35" s="13" t="s">
        <v>57</v>
      </c>
      <c r="D35" s="46"/>
      <c r="E35" s="27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36"/>
      <c r="AQ35" s="40"/>
      <c r="AR35" s="40"/>
    </row>
    <row r="36" spans="1:44" ht="25.5">
      <c r="A36" s="6" t="s">
        <v>31</v>
      </c>
      <c r="B36" s="5" t="s">
        <v>66</v>
      </c>
      <c r="C36" s="13"/>
      <c r="D36" s="46"/>
      <c r="E36" s="27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36"/>
      <c r="AQ36" s="40"/>
      <c r="AR36" s="40"/>
    </row>
    <row r="37" spans="1:44" ht="40.5" customHeight="1">
      <c r="A37" s="6" t="s">
        <v>32</v>
      </c>
      <c r="B37" s="5" t="s">
        <v>20</v>
      </c>
      <c r="C37" s="13"/>
      <c r="D37" s="46"/>
      <c r="E37" s="27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36"/>
      <c r="AQ37" s="40"/>
      <c r="AR37" s="40"/>
    </row>
    <row r="38" spans="1:44" ht="51">
      <c r="A38" s="6" t="s">
        <v>33</v>
      </c>
      <c r="B38" s="5" t="s">
        <v>21</v>
      </c>
      <c r="C38" s="13" t="s">
        <v>58</v>
      </c>
      <c r="D38" s="46">
        <f>2373015/77549.72*5850.8</f>
        <v>179033.99473266955</v>
      </c>
      <c r="E38" s="27">
        <f>D38/H19/12</f>
        <v>2.549993088305154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36"/>
      <c r="AQ38" s="40"/>
      <c r="AR38" s="40"/>
    </row>
    <row r="39" spans="1:44" ht="33" customHeight="1">
      <c r="A39" s="6" t="s">
        <v>34</v>
      </c>
      <c r="B39" s="5" t="s">
        <v>73</v>
      </c>
      <c r="C39" s="13"/>
      <c r="D39" s="46"/>
      <c r="E39" s="27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36"/>
      <c r="AQ39" s="40"/>
      <c r="AR39" s="40"/>
    </row>
    <row r="40" spans="1:44" ht="41.25" customHeight="1">
      <c r="A40" s="6" t="s">
        <v>35</v>
      </c>
      <c r="B40" s="5" t="s">
        <v>22</v>
      </c>
      <c r="C40" s="13"/>
      <c r="D40" s="46"/>
      <c r="E40" s="27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36"/>
      <c r="AQ40" s="40"/>
      <c r="AR40" s="40"/>
    </row>
    <row r="41" spans="1:44" ht="41.25" customHeight="1">
      <c r="A41" s="6" t="s">
        <v>36</v>
      </c>
      <c r="B41" s="5" t="s">
        <v>74</v>
      </c>
      <c r="C41" s="13"/>
      <c r="D41" s="46"/>
      <c r="E41" s="27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36"/>
      <c r="AQ41" s="40"/>
      <c r="AR41" s="40"/>
    </row>
    <row r="42" spans="1:44" ht="40.5" customHeight="1">
      <c r="A42" s="6" t="s">
        <v>37</v>
      </c>
      <c r="B42" s="5" t="s">
        <v>75</v>
      </c>
      <c r="C42" s="13" t="s">
        <v>54</v>
      </c>
      <c r="D42" s="47">
        <f>2696000/77549.72*5850.8</f>
        <v>203401.85367529374</v>
      </c>
      <c r="E42" s="27">
        <f>D42/H19/12</f>
        <v>2.8970661230842185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36"/>
      <c r="AQ42" s="40"/>
      <c r="AR42" s="40"/>
    </row>
    <row r="43" spans="1:44" ht="51">
      <c r="A43" s="6" t="s">
        <v>38</v>
      </c>
      <c r="B43" s="5" t="s">
        <v>67</v>
      </c>
      <c r="C43" s="13"/>
      <c r="D43" s="46"/>
      <c r="E43" s="27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36"/>
      <c r="AQ43" s="40"/>
      <c r="AR43" s="40"/>
    </row>
    <row r="44" spans="1:44" ht="40.5" customHeight="1">
      <c r="A44" s="6" t="s">
        <v>39</v>
      </c>
      <c r="B44" s="5" t="s">
        <v>76</v>
      </c>
      <c r="C44" s="13"/>
      <c r="D44" s="46"/>
      <c r="E44" s="27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36"/>
      <c r="AQ44" s="40"/>
      <c r="AR44" s="40"/>
    </row>
    <row r="45" spans="1:44" ht="39" customHeight="1">
      <c r="A45" s="6" t="s">
        <v>40</v>
      </c>
      <c r="B45" s="5" t="s">
        <v>77</v>
      </c>
      <c r="C45" s="13" t="s">
        <v>54</v>
      </c>
      <c r="D45" s="29">
        <f>1448000/77549.72*5850.8</f>
        <v>109245.50597990553</v>
      </c>
      <c r="E45" s="27">
        <f>D45/H19/12</f>
        <v>1.5559910037930074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36"/>
      <c r="AQ45" s="40"/>
      <c r="AR45" s="40"/>
    </row>
    <row r="46" spans="1:44" ht="39" customHeight="1">
      <c r="A46" s="6" t="s">
        <v>41</v>
      </c>
      <c r="B46" s="5" t="s">
        <v>78</v>
      </c>
      <c r="C46" s="13"/>
      <c r="D46" s="29"/>
      <c r="E46" s="27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36"/>
      <c r="AQ46" s="40"/>
      <c r="AR46" s="40"/>
    </row>
    <row r="47" spans="1:44" ht="25.5">
      <c r="A47" s="6" t="s">
        <v>42</v>
      </c>
      <c r="B47" s="5" t="s">
        <v>62</v>
      </c>
      <c r="C47" s="13" t="s">
        <v>54</v>
      </c>
      <c r="D47" s="46">
        <v>697181.33</v>
      </c>
      <c r="E47" s="27">
        <f>D47/H19/12</f>
        <v>9.930000028486132</v>
      </c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36"/>
      <c r="AQ47" s="40"/>
      <c r="AR47" s="40"/>
    </row>
    <row r="48" spans="1:44" ht="25.5">
      <c r="A48" s="6" t="s">
        <v>43</v>
      </c>
      <c r="B48" s="7" t="s">
        <v>63</v>
      </c>
      <c r="C48" s="13" t="s">
        <v>54</v>
      </c>
      <c r="D48" s="46">
        <f>13969818.18/77549.72*5850.8</f>
        <v>1053963.9886197397</v>
      </c>
      <c r="E48" s="27">
        <f>D48/H19/12</f>
        <v>15.011679152419893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36"/>
      <c r="AQ48" s="40"/>
      <c r="AR48" s="40"/>
    </row>
    <row r="49" spans="1:44" ht="25.5">
      <c r="A49" s="6" t="s">
        <v>46</v>
      </c>
      <c r="B49" s="5" t="s">
        <v>23</v>
      </c>
      <c r="C49" s="13" t="s">
        <v>60</v>
      </c>
      <c r="D49" s="46">
        <f>465297/77549.72*5850.8</f>
        <v>35104.70041155532</v>
      </c>
      <c r="E49" s="27">
        <f>D49/H19/12</f>
        <v>0.49999858155516225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36"/>
      <c r="AQ49" s="40"/>
      <c r="AR49" s="40"/>
    </row>
    <row r="50" spans="1:44" ht="25.5">
      <c r="A50" s="6" t="s">
        <v>79</v>
      </c>
      <c r="B50" s="5" t="s">
        <v>24</v>
      </c>
      <c r="C50" s="13" t="s">
        <v>61</v>
      </c>
      <c r="D50" s="46">
        <f>5667319/77549.72*5850.8</f>
        <v>427575.3671992626</v>
      </c>
      <c r="E50" s="27">
        <f>D50/H19/12</f>
        <v>6.089984378194187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36"/>
      <c r="AQ50" s="40"/>
      <c r="AR50" s="40"/>
    </row>
    <row r="51" spans="1:44" ht="38.25">
      <c r="A51" s="6" t="s">
        <v>80</v>
      </c>
      <c r="B51" s="5" t="s">
        <v>25</v>
      </c>
      <c r="C51" s="17" t="s">
        <v>55</v>
      </c>
      <c r="D51" s="29">
        <f>2308000/77549.72*5850.8</f>
        <v>174128.8866033301</v>
      </c>
      <c r="E51" s="27">
        <f>D51/H19/12</f>
        <v>2.4801293071507327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36"/>
      <c r="AQ51" s="40"/>
      <c r="AR51" s="40"/>
    </row>
    <row r="52" spans="1:44" ht="25.5">
      <c r="A52" s="6" t="s">
        <v>81</v>
      </c>
      <c r="B52" s="5" t="s">
        <v>26</v>
      </c>
      <c r="C52" s="13" t="s">
        <v>54</v>
      </c>
      <c r="D52" s="29">
        <f>9000/77549.72*5850.8</f>
        <v>679.0121228032802</v>
      </c>
      <c r="E52" s="27">
        <f>D52/H19/12</f>
        <v>0.009671214802580846</v>
      </c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36"/>
      <c r="AQ52" s="40"/>
      <c r="AR52" s="40"/>
    </row>
    <row r="53" spans="1:44" ht="38.25">
      <c r="A53" s="6" t="s">
        <v>82</v>
      </c>
      <c r="B53" s="5" t="s">
        <v>27</v>
      </c>
      <c r="C53" s="14" t="s">
        <v>54</v>
      </c>
      <c r="D53" s="29">
        <f>1414507/77549.72*5850.8</f>
        <v>106718.60008778886</v>
      </c>
      <c r="E53" s="27">
        <f>D53/H19/12</f>
        <v>1.5200001151949143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36"/>
      <c r="AQ53" s="40"/>
      <c r="AR53" s="40"/>
    </row>
    <row r="54" spans="1:44" ht="25.5">
      <c r="A54" s="6" t="s">
        <v>44</v>
      </c>
      <c r="B54" s="5" t="s">
        <v>28</v>
      </c>
      <c r="C54" s="15" t="s">
        <v>54</v>
      </c>
      <c r="D54" s="46"/>
      <c r="E54" s="27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36"/>
      <c r="AQ54" s="40"/>
      <c r="AR54" s="40"/>
    </row>
    <row r="55" spans="1:44" ht="38.25">
      <c r="A55" s="6" t="s">
        <v>48</v>
      </c>
      <c r="B55" s="5" t="s">
        <v>49</v>
      </c>
      <c r="C55" s="13" t="s">
        <v>52</v>
      </c>
      <c r="D55" s="46"/>
      <c r="E55" s="27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36"/>
      <c r="AQ55" s="40"/>
      <c r="AR55" s="40"/>
    </row>
    <row r="56" spans="1:44" ht="38.25">
      <c r="A56" s="6" t="s">
        <v>50</v>
      </c>
      <c r="B56" s="5" t="s">
        <v>51</v>
      </c>
      <c r="C56" s="13" t="s">
        <v>52</v>
      </c>
      <c r="D56" s="46"/>
      <c r="E56" s="27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36"/>
      <c r="AQ56" s="40"/>
      <c r="AR56" s="40"/>
    </row>
    <row r="57" spans="4:5" ht="15">
      <c r="D57" s="12"/>
      <c r="E57" s="22"/>
    </row>
    <row r="58" spans="4:5" ht="15">
      <c r="D58" s="12"/>
      <c r="E58" s="22"/>
    </row>
    <row r="59" spans="4:5" ht="15">
      <c r="D59" s="12"/>
      <c r="E59" s="22"/>
    </row>
    <row r="60" spans="4:5" ht="15">
      <c r="D60" s="12"/>
      <c r="E60" s="22"/>
    </row>
    <row r="61" spans="4:5" ht="15">
      <c r="D61" s="12"/>
      <c r="E61" s="22"/>
    </row>
    <row r="62" spans="4:5" ht="15">
      <c r="D62" s="12"/>
      <c r="E62" s="22"/>
    </row>
    <row r="63" spans="4:5" ht="15">
      <c r="D63" s="12"/>
      <c r="E63" s="22"/>
    </row>
    <row r="64" spans="4:5" ht="15">
      <c r="D64" s="12"/>
      <c r="E64" s="22"/>
    </row>
    <row r="65" spans="4:5" ht="15">
      <c r="D65" s="12"/>
      <c r="E65" s="22"/>
    </row>
    <row r="66" spans="4:5" ht="15">
      <c r="D66" s="12"/>
      <c r="E66" s="22"/>
    </row>
    <row r="67" spans="4:5" ht="15">
      <c r="D67" s="12"/>
      <c r="E67" s="22"/>
    </row>
    <row r="68" spans="4:5" ht="15">
      <c r="D68" s="12"/>
      <c r="E68" s="22"/>
    </row>
    <row r="69" spans="4:5" ht="15">
      <c r="D69" s="12"/>
      <c r="E69" s="22"/>
    </row>
    <row r="70" spans="4:5" ht="15">
      <c r="D70" s="12"/>
      <c r="E70" s="22"/>
    </row>
    <row r="71" spans="4:5" ht="15">
      <c r="D71" s="12"/>
      <c r="E71" s="22"/>
    </row>
    <row r="72" spans="4:5" ht="15">
      <c r="D72" s="12"/>
      <c r="E72" s="22"/>
    </row>
    <row r="73" spans="4:5" ht="15">
      <c r="D73" s="12"/>
      <c r="E73" s="22"/>
    </row>
    <row r="74" spans="4:5" ht="15">
      <c r="D74" s="12"/>
      <c r="E74" s="22"/>
    </row>
    <row r="75" spans="4:5" ht="15">
      <c r="D75" s="12"/>
      <c r="E75" s="22"/>
    </row>
    <row r="76" spans="4:5" ht="15">
      <c r="D76" s="12"/>
      <c r="E76" s="22"/>
    </row>
    <row r="77" spans="4:5" ht="15">
      <c r="D77" s="12"/>
      <c r="E77" s="22"/>
    </row>
    <row r="78" spans="4:5" ht="15">
      <c r="D78" s="12"/>
      <c r="E78" s="22"/>
    </row>
    <row r="79" spans="4:5" ht="15">
      <c r="D79" s="12"/>
      <c r="E79" s="22"/>
    </row>
    <row r="80" spans="4:5" ht="15">
      <c r="D80" s="12"/>
      <c r="E80" s="22"/>
    </row>
    <row r="81" spans="4:5" ht="15">
      <c r="D81" s="12"/>
      <c r="E81" s="22"/>
    </row>
    <row r="82" spans="4:5" ht="15">
      <c r="D82" s="12"/>
      <c r="E82" s="22"/>
    </row>
    <row r="83" spans="4:5" ht="15">
      <c r="D83" s="12"/>
      <c r="E83" s="22"/>
    </row>
    <row r="84" spans="4:5" ht="15">
      <c r="D84" s="12"/>
      <c r="E84" s="22"/>
    </row>
    <row r="85" spans="4:5" ht="15">
      <c r="D85" s="12"/>
      <c r="E85" s="22"/>
    </row>
    <row r="86" spans="4:5" ht="15">
      <c r="D86" s="12"/>
      <c r="E86" s="22"/>
    </row>
    <row r="87" spans="4:5" ht="15">
      <c r="D87" s="12"/>
      <c r="E87" s="22"/>
    </row>
    <row r="88" spans="4:5" ht="15">
      <c r="D88" s="12"/>
      <c r="E88" s="22"/>
    </row>
    <row r="89" spans="4:5" ht="15">
      <c r="D89" s="12"/>
      <c r="E89" s="22"/>
    </row>
    <row r="90" spans="4:5" ht="15">
      <c r="D90" s="12"/>
      <c r="E90" s="22"/>
    </row>
    <row r="91" spans="4:5" ht="15">
      <c r="D91" s="12"/>
      <c r="E91" s="22"/>
    </row>
    <row r="92" spans="4:5" ht="15">
      <c r="D92" s="12"/>
      <c r="E92" s="22"/>
    </row>
    <row r="93" spans="4:5" ht="15">
      <c r="D93" s="12"/>
      <c r="E93" s="22"/>
    </row>
    <row r="94" spans="4:5" ht="15">
      <c r="D94" s="12"/>
      <c r="E94" s="22"/>
    </row>
    <row r="95" spans="4:5" ht="15">
      <c r="D95" s="12"/>
      <c r="E95" s="22"/>
    </row>
    <row r="96" spans="4:5" ht="15">
      <c r="D96" s="12"/>
      <c r="E96" s="22"/>
    </row>
    <row r="97" spans="4:5" ht="15">
      <c r="D97" s="12"/>
      <c r="E97" s="22"/>
    </row>
    <row r="98" spans="4:5" ht="15">
      <c r="D98" s="12"/>
      <c r="E98" s="22"/>
    </row>
    <row r="99" spans="4:5" ht="15">
      <c r="D99" s="12"/>
      <c r="E99" s="22"/>
    </row>
    <row r="100" spans="4:5" ht="15">
      <c r="D100" s="12"/>
      <c r="E100" s="22"/>
    </row>
    <row r="101" spans="4:5" ht="15">
      <c r="D101" s="12"/>
      <c r="E101" s="22"/>
    </row>
    <row r="102" spans="4:5" ht="15">
      <c r="D102" s="12"/>
      <c r="E102" s="22"/>
    </row>
    <row r="103" spans="4:5" ht="15">
      <c r="D103" s="12"/>
      <c r="E103" s="22"/>
    </row>
    <row r="104" spans="4:5" ht="15">
      <c r="D104" s="12"/>
      <c r="E104" s="22"/>
    </row>
    <row r="105" spans="4:5" ht="15">
      <c r="D105" s="12"/>
      <c r="E105" s="22"/>
    </row>
    <row r="106" spans="4:5" ht="15">
      <c r="D106" s="12"/>
      <c r="E106" s="22"/>
    </row>
    <row r="107" spans="4:5" ht="15">
      <c r="D107" s="12"/>
      <c r="E107" s="22"/>
    </row>
    <row r="108" spans="4:5" ht="15">
      <c r="D108" s="12"/>
      <c r="E108" s="22"/>
    </row>
    <row r="109" spans="4:5" ht="15">
      <c r="D109" s="12"/>
      <c r="E109" s="22"/>
    </row>
    <row r="110" spans="4:5" ht="15">
      <c r="D110" s="12"/>
      <c r="E110" s="22"/>
    </row>
    <row r="111" spans="4:5" ht="15">
      <c r="D111" s="12"/>
      <c r="E111" s="22"/>
    </row>
    <row r="112" spans="4:5" ht="15">
      <c r="D112" s="12"/>
      <c r="E112" s="22"/>
    </row>
    <row r="113" spans="4:5" ht="15">
      <c r="D113" s="12"/>
      <c r="E113" s="22"/>
    </row>
    <row r="114" spans="4:5" ht="15">
      <c r="D114" s="12"/>
      <c r="E114" s="22"/>
    </row>
    <row r="115" spans="4:5" ht="15">
      <c r="D115" s="12"/>
      <c r="E115" s="22"/>
    </row>
    <row r="116" spans="4:5" ht="15">
      <c r="D116" s="12"/>
      <c r="E116" s="22"/>
    </row>
    <row r="117" spans="4:5" ht="15">
      <c r="D117" s="12"/>
      <c r="E117" s="22"/>
    </row>
    <row r="118" spans="4:5" ht="15">
      <c r="D118" s="12"/>
      <c r="E118" s="22"/>
    </row>
    <row r="119" spans="4:5" ht="15">
      <c r="D119" s="12"/>
      <c r="E119" s="22"/>
    </row>
    <row r="120" spans="4:5" ht="15">
      <c r="D120" s="12"/>
      <c r="E120" s="22"/>
    </row>
    <row r="121" spans="4:5" ht="15">
      <c r="D121" s="12"/>
      <c r="E121" s="22"/>
    </row>
    <row r="122" spans="4:5" ht="15">
      <c r="D122" s="12"/>
      <c r="E122" s="22"/>
    </row>
    <row r="123" spans="4:5" ht="15">
      <c r="D123" s="12"/>
      <c r="E123" s="22"/>
    </row>
    <row r="124" spans="4:5" ht="15">
      <c r="D124" s="12"/>
      <c r="E124" s="22"/>
    </row>
    <row r="125" spans="4:5" ht="15">
      <c r="D125" s="12"/>
      <c r="E125" s="22"/>
    </row>
    <row r="126" spans="4:5" ht="15">
      <c r="D126" s="12"/>
      <c r="E126" s="22"/>
    </row>
    <row r="127" spans="4:5" ht="15">
      <c r="D127" s="12"/>
      <c r="E127" s="22"/>
    </row>
    <row r="128" spans="4:5" ht="15">
      <c r="D128" s="12"/>
      <c r="E128" s="22"/>
    </row>
    <row r="129" spans="4:5" ht="15">
      <c r="D129" s="12"/>
      <c r="E129" s="22"/>
    </row>
    <row r="130" spans="4:5" ht="15">
      <c r="D130" s="12"/>
      <c r="E130" s="22"/>
    </row>
  </sheetData>
  <sheetProtection/>
  <mergeCells count="16">
    <mergeCell ref="A14:F14"/>
    <mergeCell ref="A15:F15"/>
    <mergeCell ref="A21:A22"/>
    <mergeCell ref="B21:B22"/>
    <mergeCell ref="D21:D22"/>
    <mergeCell ref="E21:E22"/>
    <mergeCell ref="A16:F16"/>
    <mergeCell ref="A17:F17"/>
    <mergeCell ref="A8:B8"/>
    <mergeCell ref="E8:F8"/>
    <mergeCell ref="A9:B9"/>
    <mergeCell ref="D9:F9"/>
    <mergeCell ref="A10:B10"/>
    <mergeCell ref="D10:F10"/>
    <mergeCell ref="A11:B11"/>
    <mergeCell ref="A12:B12"/>
  </mergeCells>
  <printOptions/>
  <pageMargins left="1.1811023622047245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R130"/>
  <sheetViews>
    <sheetView tabSelected="1" zoomScalePageLayoutView="0" workbookViewId="0" topLeftCell="A17">
      <selection activeCell="A12" sqref="A12:B12"/>
    </sheetView>
  </sheetViews>
  <sheetFormatPr defaultColWidth="9.140625" defaultRowHeight="15"/>
  <cols>
    <col min="1" max="1" width="5.421875" style="4" customWidth="1"/>
    <col min="2" max="2" width="38.00390625" style="4" customWidth="1"/>
    <col min="3" max="3" width="16.140625" style="4" customWidth="1"/>
    <col min="4" max="4" width="14.28125" style="4" customWidth="1"/>
    <col min="5" max="5" width="13.140625" style="19" customWidth="1"/>
    <col min="6" max="6" width="10.140625" style="30" customWidth="1"/>
    <col min="7" max="7" width="10.57421875" style="31" customWidth="1"/>
    <col min="8" max="8" width="10.421875" style="31" customWidth="1"/>
    <col min="9" max="9" width="10.00390625" style="31" customWidth="1"/>
    <col min="10" max="10" width="9.8515625" style="31" customWidth="1"/>
    <col min="11" max="11" width="9.28125" style="31" customWidth="1"/>
    <col min="12" max="14" width="9.8515625" style="31" customWidth="1"/>
    <col min="15" max="23" width="9.8515625" style="31" hidden="1" customWidth="1"/>
    <col min="24" max="39" width="9.8515625" style="31" customWidth="1"/>
    <col min="40" max="40" width="11.421875" style="31" customWidth="1"/>
    <col min="41" max="41" width="11.00390625" style="31" customWidth="1"/>
    <col min="42" max="42" width="11.140625" style="31" customWidth="1"/>
    <col min="43" max="44" width="9.140625" style="31" customWidth="1"/>
    <col min="45" max="16384" width="9.140625" style="4" customWidth="1"/>
  </cols>
  <sheetData>
    <row r="1" spans="1:5" ht="15.75" hidden="1">
      <c r="A1" s="1" t="s">
        <v>0</v>
      </c>
      <c r="E1" s="18" t="s">
        <v>9</v>
      </c>
    </row>
    <row r="2" spans="1:5" ht="15.75" hidden="1">
      <c r="A2" s="1" t="s">
        <v>1</v>
      </c>
      <c r="E2" s="18" t="s">
        <v>11</v>
      </c>
    </row>
    <row r="3" spans="1:5" ht="15.75" hidden="1">
      <c r="A3" s="1" t="s">
        <v>2</v>
      </c>
      <c r="E3" s="18" t="s">
        <v>10</v>
      </c>
    </row>
    <row r="4" ht="15.75" hidden="1">
      <c r="A4" s="1" t="s">
        <v>3</v>
      </c>
    </row>
    <row r="5" ht="15" hidden="1"/>
    <row r="6" spans="1:5" ht="75" hidden="1">
      <c r="A6" s="2" t="s">
        <v>12</v>
      </c>
      <c r="B6" s="3"/>
      <c r="C6" s="3"/>
      <c r="D6" s="3"/>
      <c r="E6" s="20"/>
    </row>
    <row r="7" spans="1:5" ht="15" hidden="1">
      <c r="A7" s="3" t="s">
        <v>53</v>
      </c>
      <c r="B7" s="3"/>
      <c r="C7" s="3"/>
      <c r="D7" s="3"/>
      <c r="E7" s="21"/>
    </row>
    <row r="8" spans="1:6" ht="15.75" customHeight="1">
      <c r="A8" s="60" t="s">
        <v>0</v>
      </c>
      <c r="B8" s="61"/>
      <c r="C8" s="52"/>
      <c r="D8" s="53"/>
      <c r="E8" s="62" t="s">
        <v>9</v>
      </c>
      <c r="F8" s="63"/>
    </row>
    <row r="9" spans="1:6" ht="15">
      <c r="A9" s="61" t="s">
        <v>83</v>
      </c>
      <c r="B9" s="61"/>
      <c r="C9" s="52"/>
      <c r="D9" s="64" t="s">
        <v>114</v>
      </c>
      <c r="E9" s="63"/>
      <c r="F9" s="63"/>
    </row>
    <row r="10" spans="1:6" ht="15">
      <c r="A10" s="61" t="s">
        <v>84</v>
      </c>
      <c r="B10" s="61"/>
      <c r="C10" s="52"/>
      <c r="D10" s="64" t="s">
        <v>118</v>
      </c>
      <c r="E10" s="63"/>
      <c r="F10" s="63"/>
    </row>
    <row r="11" spans="1:5" ht="15">
      <c r="A11" s="61" t="s">
        <v>2</v>
      </c>
      <c r="B11" s="61"/>
      <c r="C11" s="52"/>
      <c r="D11" s="52"/>
      <c r="E11" s="21"/>
    </row>
    <row r="12" spans="1:5" ht="15" customHeight="1">
      <c r="A12" s="61" t="s">
        <v>136</v>
      </c>
      <c r="B12" s="61"/>
      <c r="C12" s="52"/>
      <c r="D12" s="52"/>
      <c r="E12" s="21"/>
    </row>
    <row r="13" spans="1:5" ht="15">
      <c r="A13" s="54"/>
      <c r="B13" s="54"/>
      <c r="C13" s="52"/>
      <c r="D13" s="52"/>
      <c r="E13" s="21"/>
    </row>
    <row r="14" spans="1:6" ht="15.75">
      <c r="A14" s="67" t="s">
        <v>86</v>
      </c>
      <c r="B14" s="67"/>
      <c r="C14" s="67"/>
      <c r="D14" s="67"/>
      <c r="E14" s="67"/>
      <c r="F14" s="67"/>
    </row>
    <row r="15" spans="1:6" ht="15.75">
      <c r="A15" s="67" t="s">
        <v>87</v>
      </c>
      <c r="B15" s="67"/>
      <c r="C15" s="67"/>
      <c r="D15" s="67"/>
      <c r="E15" s="67"/>
      <c r="F15" s="67"/>
    </row>
    <row r="16" spans="1:6" ht="15.75">
      <c r="A16" s="67" t="s">
        <v>88</v>
      </c>
      <c r="B16" s="67"/>
      <c r="C16" s="67"/>
      <c r="D16" s="67"/>
      <c r="E16" s="67"/>
      <c r="F16" s="67"/>
    </row>
    <row r="17" spans="1:6" ht="15">
      <c r="A17" s="80" t="s">
        <v>122</v>
      </c>
      <c r="B17" s="81"/>
      <c r="C17" s="81"/>
      <c r="D17" s="81"/>
      <c r="E17" s="81"/>
      <c r="F17" s="81"/>
    </row>
    <row r="18" spans="1:5" ht="15">
      <c r="A18" s="3"/>
      <c r="B18" s="3"/>
      <c r="C18" s="3"/>
      <c r="D18" s="3"/>
      <c r="E18" s="55"/>
    </row>
    <row r="19" spans="1:9" ht="28.5">
      <c r="A19" s="10" t="s">
        <v>47</v>
      </c>
      <c r="B19" s="3"/>
      <c r="C19" s="3"/>
      <c r="D19" s="3"/>
      <c r="E19" s="48"/>
      <c r="H19" s="51">
        <v>5845.12</v>
      </c>
      <c r="I19" s="31">
        <v>77549.52</v>
      </c>
    </row>
    <row r="20" ht="15">
      <c r="D20" s="16"/>
    </row>
    <row r="21" spans="1:42" ht="42" customHeight="1">
      <c r="A21" s="74" t="s">
        <v>8</v>
      </c>
      <c r="B21" s="74" t="s">
        <v>4</v>
      </c>
      <c r="C21" s="28" t="s">
        <v>5</v>
      </c>
      <c r="D21" s="75" t="s">
        <v>6</v>
      </c>
      <c r="E21" s="77" t="s">
        <v>7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3"/>
    </row>
    <row r="22" spans="1:42" ht="14.25" customHeight="1">
      <c r="A22" s="74"/>
      <c r="B22" s="74"/>
      <c r="C22" s="28"/>
      <c r="D22" s="76"/>
      <c r="E22" s="77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6"/>
    </row>
    <row r="23" spans="1:44" s="11" customFormat="1" ht="51">
      <c r="A23" s="23">
        <v>1</v>
      </c>
      <c r="B23" s="24" t="s">
        <v>13</v>
      </c>
      <c r="C23" s="25"/>
      <c r="D23" s="44">
        <f>D24+D25+D54+D55</f>
        <v>3411413.668928114</v>
      </c>
      <c r="E23" s="50">
        <f>E24+E25+E54+E55-0.01</f>
        <v>48.62620805230281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6"/>
      <c r="AQ23" s="38"/>
      <c r="AR23" s="38"/>
    </row>
    <row r="24" spans="1:44" ht="51.75" customHeight="1">
      <c r="A24" s="8">
        <v>2</v>
      </c>
      <c r="B24" s="5" t="s">
        <v>45</v>
      </c>
      <c r="C24" s="13" t="s">
        <v>54</v>
      </c>
      <c r="D24" s="45">
        <f>1905742.15/77549.72*5845.12</f>
        <v>143640.64184639222</v>
      </c>
      <c r="E24" s="26">
        <f>D24/H19/12</f>
        <v>2.0478712989980274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6"/>
      <c r="AQ24" s="40"/>
      <c r="AR24" s="40"/>
    </row>
    <row r="25" spans="1:44" ht="25.5">
      <c r="A25" s="8">
        <v>3</v>
      </c>
      <c r="B25" s="5" t="s">
        <v>29</v>
      </c>
      <c r="C25" s="13"/>
      <c r="D25" s="45">
        <f>D26+D27+D28+D29+D30+D31+D32+D33+D34+D35+D36+D37+D38+D39+D40+D41+D42+D43+D44+D45+D46+D47+D48+D49+D50+D51+D52+D53+D54+D55+D56</f>
        <v>3267773.027081722</v>
      </c>
      <c r="E25" s="26">
        <f>SUM(E26:E56)</f>
        <v>46.58833675330478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0"/>
      <c r="AR25" s="40"/>
    </row>
    <row r="26" spans="1:44" ht="30.75" customHeight="1">
      <c r="A26" s="9">
        <v>3.1</v>
      </c>
      <c r="B26" s="5" t="s">
        <v>14</v>
      </c>
      <c r="C26" s="13"/>
      <c r="D26" s="46"/>
      <c r="E26" s="27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6"/>
      <c r="AQ26" s="40"/>
      <c r="AR26" s="40"/>
    </row>
    <row r="27" spans="1:44" ht="26.25" customHeight="1">
      <c r="A27" s="6">
        <v>3.2</v>
      </c>
      <c r="B27" s="5" t="s">
        <v>15</v>
      </c>
      <c r="C27" s="13" t="s">
        <v>57</v>
      </c>
      <c r="D27" s="46">
        <f>353626/77549.72*5845.12</f>
        <v>26653.69269057322</v>
      </c>
      <c r="E27" s="27">
        <f>D27/H19/12</f>
        <v>0.3799992228641616</v>
      </c>
      <c r="F27" s="43" t="s">
        <v>124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36"/>
      <c r="AQ27" s="40"/>
      <c r="AR27" s="40"/>
    </row>
    <row r="28" spans="1:44" ht="32.25" customHeight="1">
      <c r="A28" s="9">
        <v>3.3</v>
      </c>
      <c r="B28" s="5" t="s">
        <v>16</v>
      </c>
      <c r="C28" s="13" t="s">
        <v>59</v>
      </c>
      <c r="D28" s="46">
        <f>158201/77549.72*5845.12</f>
        <v>11924.012480251378</v>
      </c>
      <c r="E28" s="27">
        <f>D28/H19/12</f>
        <v>0.1699995392203436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36"/>
      <c r="AQ28" s="40"/>
      <c r="AR28" s="40"/>
    </row>
    <row r="29" spans="1:44" ht="29.25" customHeight="1">
      <c r="A29" s="6" t="s">
        <v>68</v>
      </c>
      <c r="B29" s="5" t="s">
        <v>17</v>
      </c>
      <c r="C29" s="13" t="s">
        <v>56</v>
      </c>
      <c r="D29" s="46"/>
      <c r="E29" s="27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6"/>
      <c r="AQ29" s="40"/>
      <c r="AR29" s="40"/>
    </row>
    <row r="30" spans="1:44" ht="39" customHeight="1">
      <c r="A30" s="6" t="s">
        <v>69</v>
      </c>
      <c r="B30" s="5" t="s">
        <v>70</v>
      </c>
      <c r="C30" s="13"/>
      <c r="D30" s="46"/>
      <c r="E30" s="27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6"/>
      <c r="AQ30" s="40"/>
      <c r="AR30" s="40"/>
    </row>
    <row r="31" spans="1:44" ht="39" customHeight="1">
      <c r="A31" s="6" t="s">
        <v>71</v>
      </c>
      <c r="B31" s="5" t="s">
        <v>72</v>
      </c>
      <c r="C31" s="13"/>
      <c r="D31" s="46"/>
      <c r="E31" s="27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6"/>
      <c r="AQ31" s="40"/>
      <c r="AR31" s="40"/>
    </row>
    <row r="32" spans="1:44" ht="30.75" customHeight="1">
      <c r="A32" s="9">
        <v>3.7</v>
      </c>
      <c r="B32" s="5" t="s">
        <v>18</v>
      </c>
      <c r="C32" s="13" t="s">
        <v>57</v>
      </c>
      <c r="D32" s="46">
        <f>2345097/77549.72*5845.12</f>
        <v>176755.93640621784</v>
      </c>
      <c r="E32" s="27">
        <f>D32/H19/12</f>
        <v>2.5199929799875487</v>
      </c>
      <c r="F32" s="43">
        <v>1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36"/>
      <c r="AQ32" s="40"/>
      <c r="AR32" s="40"/>
    </row>
    <row r="33" spans="1:44" ht="30" customHeight="1">
      <c r="A33" s="6">
        <v>3.8</v>
      </c>
      <c r="B33" s="5" t="s">
        <v>64</v>
      </c>
      <c r="C33" s="13" t="s">
        <v>57</v>
      </c>
      <c r="D33" s="46">
        <f>651416/77549.72*5845.12</f>
        <v>49098.883786040744</v>
      </c>
      <c r="E33" s="27">
        <f>D33/H19/12</f>
        <v>0.6999982290931116</v>
      </c>
      <c r="F33" s="43">
        <v>1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36"/>
      <c r="AQ33" s="40"/>
      <c r="AR33" s="40"/>
    </row>
    <row r="34" spans="1:44" ht="28.5" customHeight="1">
      <c r="A34" s="9">
        <v>3.9</v>
      </c>
      <c r="B34" s="5" t="s">
        <v>19</v>
      </c>
      <c r="C34" s="13" t="s">
        <v>57</v>
      </c>
      <c r="D34" s="46">
        <f>697946/77549.72*5845.12</f>
        <v>52605.968448628824</v>
      </c>
      <c r="E34" s="27">
        <f>D34/H19/12</f>
        <v>0.7499984096224547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36"/>
      <c r="AQ34" s="40"/>
      <c r="AR34" s="40"/>
    </row>
    <row r="35" spans="1:44" ht="30" customHeight="1">
      <c r="A35" s="6" t="s">
        <v>30</v>
      </c>
      <c r="B35" s="5" t="s">
        <v>65</v>
      </c>
      <c r="C35" s="13" t="s">
        <v>57</v>
      </c>
      <c r="D35" s="46"/>
      <c r="E35" s="27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36"/>
      <c r="AQ35" s="40"/>
      <c r="AR35" s="40"/>
    </row>
    <row r="36" spans="1:44" ht="30" customHeight="1">
      <c r="A36" s="6" t="s">
        <v>31</v>
      </c>
      <c r="B36" s="5" t="s">
        <v>66</v>
      </c>
      <c r="C36" s="13"/>
      <c r="D36" s="46"/>
      <c r="E36" s="27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36"/>
      <c r="AQ36" s="40"/>
      <c r="AR36" s="40"/>
    </row>
    <row r="37" spans="1:44" ht="39" customHeight="1">
      <c r="A37" s="6" t="s">
        <v>32</v>
      </c>
      <c r="B37" s="5" t="s">
        <v>20</v>
      </c>
      <c r="C37" s="13"/>
      <c r="D37" s="46"/>
      <c r="E37" s="27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36"/>
      <c r="AQ37" s="40"/>
      <c r="AR37" s="40"/>
    </row>
    <row r="38" spans="1:44" ht="39" customHeight="1">
      <c r="A38" s="6" t="s">
        <v>33</v>
      </c>
      <c r="B38" s="5" t="s">
        <v>21</v>
      </c>
      <c r="C38" s="13" t="s">
        <v>58</v>
      </c>
      <c r="D38" s="46">
        <f>2373015/77549.72*5845.12</f>
        <v>178860.18720377068</v>
      </c>
      <c r="E38" s="27">
        <f>D38/H19/12</f>
        <v>2.5499930883051545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36"/>
      <c r="AQ38" s="40"/>
      <c r="AR38" s="40"/>
    </row>
    <row r="39" spans="1:44" ht="28.5" customHeight="1">
      <c r="A39" s="6" t="s">
        <v>34</v>
      </c>
      <c r="B39" s="5" t="s">
        <v>73</v>
      </c>
      <c r="C39" s="13"/>
      <c r="D39" s="46"/>
      <c r="E39" s="27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36"/>
      <c r="AQ39" s="40"/>
      <c r="AR39" s="40"/>
    </row>
    <row r="40" spans="1:44" ht="39" customHeight="1">
      <c r="A40" s="6" t="s">
        <v>35</v>
      </c>
      <c r="B40" s="5" t="s">
        <v>22</v>
      </c>
      <c r="C40" s="13"/>
      <c r="D40" s="46"/>
      <c r="E40" s="27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36"/>
      <c r="AQ40" s="40"/>
      <c r="AR40" s="40"/>
    </row>
    <row r="41" spans="1:44" ht="29.25" customHeight="1">
      <c r="A41" s="6" t="s">
        <v>36</v>
      </c>
      <c r="B41" s="5" t="s">
        <v>74</v>
      </c>
      <c r="C41" s="13"/>
      <c r="D41" s="46"/>
      <c r="E41" s="27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36"/>
      <c r="AQ41" s="40"/>
      <c r="AR41" s="40"/>
    </row>
    <row r="42" spans="1:44" ht="39" customHeight="1">
      <c r="A42" s="6" t="s">
        <v>37</v>
      </c>
      <c r="B42" s="5" t="s">
        <v>75</v>
      </c>
      <c r="C42" s="13" t="s">
        <v>54</v>
      </c>
      <c r="D42" s="47">
        <f>2696000/77549.72*5845.12</f>
        <v>203204.3896483443</v>
      </c>
      <c r="E42" s="27">
        <f>D42/H19/12</f>
        <v>2.8970661230842185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36"/>
      <c r="AQ42" s="40"/>
      <c r="AR42" s="40"/>
    </row>
    <row r="43" spans="1:44" ht="39" customHeight="1">
      <c r="A43" s="6" t="s">
        <v>38</v>
      </c>
      <c r="B43" s="5" t="s">
        <v>67</v>
      </c>
      <c r="C43" s="13"/>
      <c r="D43" s="46"/>
      <c r="E43" s="27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36"/>
      <c r="AQ43" s="40"/>
      <c r="AR43" s="40"/>
    </row>
    <row r="44" spans="1:44" ht="39" customHeight="1">
      <c r="A44" s="6" t="s">
        <v>39</v>
      </c>
      <c r="B44" s="5" t="s">
        <v>76</v>
      </c>
      <c r="C44" s="13"/>
      <c r="D44" s="46"/>
      <c r="E44" s="27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36"/>
      <c r="AQ44" s="40"/>
      <c r="AR44" s="40"/>
    </row>
    <row r="45" spans="1:44" ht="39" customHeight="1">
      <c r="A45" s="6" t="s">
        <v>40</v>
      </c>
      <c r="B45" s="5" t="s">
        <v>77</v>
      </c>
      <c r="C45" s="13" t="s">
        <v>54</v>
      </c>
      <c r="D45" s="29">
        <f>1448000/77549.72*5845.12</f>
        <v>109139.449633087</v>
      </c>
      <c r="E45" s="27">
        <f>D45/H19/12</f>
        <v>1.5559910037930074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36"/>
      <c r="AQ45" s="40"/>
      <c r="AR45" s="40"/>
    </row>
    <row r="46" spans="1:44" ht="39" customHeight="1">
      <c r="A46" s="6" t="s">
        <v>41</v>
      </c>
      <c r="B46" s="5" t="s">
        <v>78</v>
      </c>
      <c r="C46" s="13"/>
      <c r="D46" s="29"/>
      <c r="E46" s="27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36"/>
      <c r="AQ46" s="40"/>
      <c r="AR46" s="40"/>
    </row>
    <row r="47" spans="1:44" ht="32.25" customHeight="1">
      <c r="A47" s="6" t="s">
        <v>42</v>
      </c>
      <c r="B47" s="5" t="s">
        <v>62</v>
      </c>
      <c r="C47" s="13" t="s">
        <v>54</v>
      </c>
      <c r="D47" s="46">
        <v>696504.5</v>
      </c>
      <c r="E47" s="27">
        <f>D47/5845.12/12</f>
        <v>9.930000011405527</v>
      </c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36"/>
      <c r="AQ47" s="40"/>
      <c r="AR47" s="40"/>
    </row>
    <row r="48" spans="1:44" ht="27" customHeight="1">
      <c r="A48" s="6" t="s">
        <v>43</v>
      </c>
      <c r="B48" s="7" t="s">
        <v>63</v>
      </c>
      <c r="C48" s="13" t="s">
        <v>54</v>
      </c>
      <c r="D48" s="46">
        <f>13526701/77549.72*5845.12</f>
        <v>1019541.9216100329</v>
      </c>
      <c r="E48" s="27">
        <f>D48/H19/12</f>
        <v>14.535514549031683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36"/>
      <c r="AQ48" s="40"/>
      <c r="AR48" s="40"/>
    </row>
    <row r="49" spans="1:44" ht="29.25" customHeight="1">
      <c r="A49" s="6" t="s">
        <v>46</v>
      </c>
      <c r="B49" s="5" t="s">
        <v>23</v>
      </c>
      <c r="C49" s="13" t="s">
        <v>60</v>
      </c>
      <c r="D49" s="46">
        <f>465297/77549.72*5845.12</f>
        <v>35070.62050823652</v>
      </c>
      <c r="E49" s="27">
        <f>D49/H19/12</f>
        <v>0.49999858155516225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36"/>
      <c r="AQ49" s="40"/>
      <c r="AR49" s="40"/>
    </row>
    <row r="50" spans="1:44" ht="31.5" customHeight="1">
      <c r="A50" s="6" t="s">
        <v>79</v>
      </c>
      <c r="B50" s="5" t="s">
        <v>24</v>
      </c>
      <c r="C50" s="13" t="s">
        <v>61</v>
      </c>
      <c r="D50" s="46">
        <f>5667319/77549.72*5845.12</f>
        <v>427160.27386404487</v>
      </c>
      <c r="E50" s="27">
        <f>D50/H19/12</f>
        <v>6.089984378194187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36"/>
      <c r="AQ50" s="40"/>
      <c r="AR50" s="40"/>
    </row>
    <row r="51" spans="1:44" ht="42" customHeight="1">
      <c r="A51" s="6" t="s">
        <v>80</v>
      </c>
      <c r="B51" s="5" t="s">
        <v>25</v>
      </c>
      <c r="C51" s="17" t="s">
        <v>55</v>
      </c>
      <c r="D51" s="29">
        <f>2308000/77549.72*5845.12</f>
        <v>173959.84098975468</v>
      </c>
      <c r="E51" s="27">
        <f>D51/H19/12</f>
        <v>2.4801293071507327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36"/>
      <c r="AQ51" s="40"/>
      <c r="AR51" s="40"/>
    </row>
    <row r="52" spans="1:44" ht="30.75" customHeight="1">
      <c r="A52" s="6" t="s">
        <v>81</v>
      </c>
      <c r="B52" s="5" t="s">
        <v>26</v>
      </c>
      <c r="C52" s="13" t="s">
        <v>54</v>
      </c>
      <c r="D52" s="29">
        <f>9000/77549.72*5845.12</f>
        <v>678.3529328023363</v>
      </c>
      <c r="E52" s="27">
        <f>D52/H19/12</f>
        <v>0.009671214802580848</v>
      </c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36"/>
      <c r="AQ52" s="40"/>
      <c r="AR52" s="40"/>
    </row>
    <row r="53" spans="1:44" ht="41.25" customHeight="1">
      <c r="A53" s="6" t="s">
        <v>82</v>
      </c>
      <c r="B53" s="5" t="s">
        <v>27</v>
      </c>
      <c r="C53" s="14" t="s">
        <v>54</v>
      </c>
      <c r="D53" s="29">
        <f>1414507/77549.72*5845.12</f>
        <v>106614.99687993716</v>
      </c>
      <c r="E53" s="27">
        <f>D53/H19/12</f>
        <v>1.5200001151949143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36"/>
      <c r="AQ53" s="40"/>
      <c r="AR53" s="40"/>
    </row>
    <row r="54" spans="1:44" ht="31.5" customHeight="1">
      <c r="A54" s="6" t="s">
        <v>44</v>
      </c>
      <c r="B54" s="5" t="s">
        <v>28</v>
      </c>
      <c r="C54" s="13" t="s">
        <v>54</v>
      </c>
      <c r="D54" s="46"/>
      <c r="E54" s="27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36"/>
      <c r="AQ54" s="40"/>
      <c r="AR54" s="40"/>
    </row>
    <row r="55" spans="1:44" ht="39" customHeight="1">
      <c r="A55" s="6" t="s">
        <v>48</v>
      </c>
      <c r="B55" s="5" t="s">
        <v>49</v>
      </c>
      <c r="C55" s="13" t="s">
        <v>52</v>
      </c>
      <c r="D55" s="46"/>
      <c r="E55" s="27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36"/>
      <c r="AQ55" s="40"/>
      <c r="AR55" s="40"/>
    </row>
    <row r="56" spans="1:44" ht="39.75" customHeight="1">
      <c r="A56" s="6" t="s">
        <v>50</v>
      </c>
      <c r="B56" s="5" t="s">
        <v>51</v>
      </c>
      <c r="C56" s="13" t="s">
        <v>52</v>
      </c>
      <c r="D56" s="46"/>
      <c r="E56" s="27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36"/>
      <c r="AQ56" s="40"/>
      <c r="AR56" s="40"/>
    </row>
    <row r="57" spans="4:5" ht="15">
      <c r="D57" s="12"/>
      <c r="E57" s="22"/>
    </row>
    <row r="58" spans="4:5" ht="15">
      <c r="D58" s="12"/>
      <c r="E58" s="22"/>
    </row>
    <row r="59" spans="4:5" ht="15">
      <c r="D59" s="12"/>
      <c r="E59" s="22"/>
    </row>
    <row r="60" spans="4:5" ht="15">
      <c r="D60" s="12"/>
      <c r="E60" s="22"/>
    </row>
    <row r="61" spans="4:5" ht="15">
      <c r="D61" s="12"/>
      <c r="E61" s="22"/>
    </row>
    <row r="62" spans="4:5" ht="15">
      <c r="D62" s="12"/>
      <c r="E62" s="22"/>
    </row>
    <row r="63" spans="4:5" ht="15">
      <c r="D63" s="12"/>
      <c r="E63" s="22"/>
    </row>
    <row r="64" spans="4:5" ht="15">
      <c r="D64" s="12"/>
      <c r="E64" s="22"/>
    </row>
    <row r="65" spans="4:5" ht="15">
      <c r="D65" s="12"/>
      <c r="E65" s="22"/>
    </row>
    <row r="66" spans="4:5" ht="15">
      <c r="D66" s="12"/>
      <c r="E66" s="22"/>
    </row>
    <row r="67" spans="4:5" ht="15">
      <c r="D67" s="12"/>
      <c r="E67" s="22"/>
    </row>
    <row r="68" spans="4:5" ht="15">
      <c r="D68" s="12"/>
      <c r="E68" s="22"/>
    </row>
    <row r="69" spans="4:5" ht="15">
      <c r="D69" s="12"/>
      <c r="E69" s="22"/>
    </row>
    <row r="70" spans="4:5" ht="15">
      <c r="D70" s="12"/>
      <c r="E70" s="22"/>
    </row>
    <row r="71" spans="4:5" ht="15">
      <c r="D71" s="12"/>
      <c r="E71" s="22"/>
    </row>
    <row r="72" spans="4:5" ht="15">
      <c r="D72" s="12"/>
      <c r="E72" s="22"/>
    </row>
    <row r="73" spans="4:5" ht="15">
      <c r="D73" s="12"/>
      <c r="E73" s="22"/>
    </row>
    <row r="74" spans="4:5" ht="15">
      <c r="D74" s="12"/>
      <c r="E74" s="22"/>
    </row>
    <row r="75" spans="4:5" ht="15">
      <c r="D75" s="12"/>
      <c r="E75" s="22"/>
    </row>
    <row r="76" spans="4:5" ht="15">
      <c r="D76" s="12"/>
      <c r="E76" s="22"/>
    </row>
    <row r="77" spans="4:5" ht="15">
      <c r="D77" s="12"/>
      <c r="E77" s="22"/>
    </row>
    <row r="78" spans="4:5" ht="15">
      <c r="D78" s="12"/>
      <c r="E78" s="22"/>
    </row>
    <row r="79" spans="4:5" ht="15">
      <c r="D79" s="12"/>
      <c r="E79" s="22"/>
    </row>
    <row r="80" spans="4:5" ht="15">
      <c r="D80" s="12"/>
      <c r="E80" s="22"/>
    </row>
    <row r="81" spans="4:5" ht="15">
      <c r="D81" s="12"/>
      <c r="E81" s="22"/>
    </row>
    <row r="82" spans="4:5" ht="15">
      <c r="D82" s="12"/>
      <c r="E82" s="22"/>
    </row>
    <row r="83" spans="4:5" ht="15">
      <c r="D83" s="12"/>
      <c r="E83" s="22"/>
    </row>
    <row r="84" spans="4:5" ht="15">
      <c r="D84" s="12"/>
      <c r="E84" s="22"/>
    </row>
    <row r="85" spans="4:5" ht="15">
      <c r="D85" s="12"/>
      <c r="E85" s="22"/>
    </row>
    <row r="86" spans="4:5" ht="15">
      <c r="D86" s="12"/>
      <c r="E86" s="22"/>
    </row>
    <row r="87" spans="4:5" ht="15">
      <c r="D87" s="12"/>
      <c r="E87" s="22"/>
    </row>
    <row r="88" spans="4:5" ht="15">
      <c r="D88" s="12"/>
      <c r="E88" s="22"/>
    </row>
    <row r="89" spans="4:5" ht="15">
      <c r="D89" s="12"/>
      <c r="E89" s="22"/>
    </row>
    <row r="90" spans="4:5" ht="15">
      <c r="D90" s="12"/>
      <c r="E90" s="22"/>
    </row>
    <row r="91" spans="4:5" ht="15">
      <c r="D91" s="12"/>
      <c r="E91" s="22"/>
    </row>
    <row r="92" spans="4:5" ht="15">
      <c r="D92" s="12"/>
      <c r="E92" s="22"/>
    </row>
    <row r="93" spans="4:5" ht="15">
      <c r="D93" s="12"/>
      <c r="E93" s="22"/>
    </row>
    <row r="94" spans="4:5" ht="15">
      <c r="D94" s="12"/>
      <c r="E94" s="22"/>
    </row>
    <row r="95" spans="4:5" ht="15">
      <c r="D95" s="12"/>
      <c r="E95" s="22"/>
    </row>
    <row r="96" spans="4:5" ht="15">
      <c r="D96" s="12"/>
      <c r="E96" s="22"/>
    </row>
    <row r="97" spans="4:5" ht="15">
      <c r="D97" s="12"/>
      <c r="E97" s="22"/>
    </row>
    <row r="98" spans="4:5" ht="15">
      <c r="D98" s="12"/>
      <c r="E98" s="22"/>
    </row>
    <row r="99" spans="4:5" ht="15">
      <c r="D99" s="12"/>
      <c r="E99" s="22"/>
    </row>
    <row r="100" spans="4:5" ht="15">
      <c r="D100" s="12"/>
      <c r="E100" s="22"/>
    </row>
    <row r="101" spans="4:5" ht="15">
      <c r="D101" s="12"/>
      <c r="E101" s="22"/>
    </row>
    <row r="102" spans="4:5" ht="15">
      <c r="D102" s="12"/>
      <c r="E102" s="22"/>
    </row>
    <row r="103" spans="4:5" ht="15">
      <c r="D103" s="12"/>
      <c r="E103" s="22"/>
    </row>
    <row r="104" spans="4:5" ht="15">
      <c r="D104" s="12"/>
      <c r="E104" s="22"/>
    </row>
    <row r="105" spans="4:5" ht="15">
      <c r="D105" s="12"/>
      <c r="E105" s="22"/>
    </row>
    <row r="106" spans="4:5" ht="15">
      <c r="D106" s="12"/>
      <c r="E106" s="22"/>
    </row>
    <row r="107" spans="4:5" ht="15">
      <c r="D107" s="12"/>
      <c r="E107" s="22"/>
    </row>
    <row r="108" spans="4:5" ht="15">
      <c r="D108" s="12"/>
      <c r="E108" s="22"/>
    </row>
    <row r="109" spans="4:5" ht="15">
      <c r="D109" s="12"/>
      <c r="E109" s="22"/>
    </row>
    <row r="110" spans="4:5" ht="15">
      <c r="D110" s="12"/>
      <c r="E110" s="22"/>
    </row>
    <row r="111" spans="4:5" ht="15">
      <c r="D111" s="12"/>
      <c r="E111" s="22"/>
    </row>
    <row r="112" spans="4:5" ht="15">
      <c r="D112" s="12"/>
      <c r="E112" s="22"/>
    </row>
    <row r="113" spans="4:5" ht="15">
      <c r="D113" s="12"/>
      <c r="E113" s="22"/>
    </row>
    <row r="114" spans="4:5" ht="15">
      <c r="D114" s="12"/>
      <c r="E114" s="22"/>
    </row>
    <row r="115" spans="4:5" ht="15">
      <c r="D115" s="12"/>
      <c r="E115" s="22"/>
    </row>
    <row r="116" spans="4:5" ht="15">
      <c r="D116" s="12"/>
      <c r="E116" s="22"/>
    </row>
    <row r="117" spans="4:5" ht="15">
      <c r="D117" s="12"/>
      <c r="E117" s="22"/>
    </row>
    <row r="118" spans="4:5" ht="15">
      <c r="D118" s="12"/>
      <c r="E118" s="22"/>
    </row>
    <row r="119" spans="4:5" ht="15">
      <c r="D119" s="12"/>
      <c r="E119" s="22"/>
    </row>
    <row r="120" spans="4:5" ht="15">
      <c r="D120" s="12"/>
      <c r="E120" s="22"/>
    </row>
    <row r="121" spans="4:5" ht="15">
      <c r="D121" s="12"/>
      <c r="E121" s="22"/>
    </row>
    <row r="122" spans="4:5" ht="15">
      <c r="D122" s="12"/>
      <c r="E122" s="22"/>
    </row>
    <row r="123" spans="4:5" ht="15">
      <c r="D123" s="12"/>
      <c r="E123" s="22"/>
    </row>
    <row r="124" spans="4:5" ht="15">
      <c r="D124" s="12"/>
      <c r="E124" s="22"/>
    </row>
    <row r="125" spans="4:5" ht="15">
      <c r="D125" s="12"/>
      <c r="E125" s="22"/>
    </row>
    <row r="126" spans="4:5" ht="15">
      <c r="D126" s="12"/>
      <c r="E126" s="22"/>
    </row>
    <row r="127" spans="4:5" ht="15">
      <c r="D127" s="12"/>
      <c r="E127" s="22"/>
    </row>
    <row r="128" spans="4:5" ht="15">
      <c r="D128" s="12"/>
      <c r="E128" s="22"/>
    </row>
    <row r="129" spans="4:5" ht="15">
      <c r="D129" s="12"/>
      <c r="E129" s="22"/>
    </row>
    <row r="130" spans="4:5" ht="15">
      <c r="D130" s="12"/>
      <c r="E130" s="22"/>
    </row>
  </sheetData>
  <sheetProtection/>
  <mergeCells count="16">
    <mergeCell ref="A14:F14"/>
    <mergeCell ref="A15:F15"/>
    <mergeCell ref="A21:A22"/>
    <mergeCell ref="B21:B22"/>
    <mergeCell ref="D21:D22"/>
    <mergeCell ref="E21:E22"/>
    <mergeCell ref="A16:F16"/>
    <mergeCell ref="A17:F17"/>
    <mergeCell ref="A8:B8"/>
    <mergeCell ref="E8:F8"/>
    <mergeCell ref="A9:B9"/>
    <mergeCell ref="D9:F9"/>
    <mergeCell ref="A10:B10"/>
    <mergeCell ref="D10:F10"/>
    <mergeCell ref="A11:B11"/>
    <mergeCell ref="A12:B12"/>
  </mergeCells>
  <printOptions/>
  <pageMargins left="0.75" right="0.3937007874015748" top="0.35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30"/>
  <sheetViews>
    <sheetView zoomScalePageLayoutView="0" workbookViewId="0" topLeftCell="A8">
      <selection activeCell="A12" sqref="A12:B12"/>
    </sheetView>
  </sheetViews>
  <sheetFormatPr defaultColWidth="9.140625" defaultRowHeight="15"/>
  <cols>
    <col min="1" max="1" width="5.8515625" style="4" customWidth="1"/>
    <col min="2" max="2" width="38.00390625" style="4" customWidth="1"/>
    <col min="3" max="3" width="17.7109375" style="4" hidden="1" customWidth="1"/>
    <col min="4" max="4" width="14.28125" style="4" customWidth="1"/>
    <col min="5" max="5" width="13.7109375" style="19" customWidth="1"/>
    <col min="6" max="6" width="10.140625" style="30" customWidth="1"/>
    <col min="7" max="7" width="10.57421875" style="31" customWidth="1"/>
    <col min="8" max="8" width="10.421875" style="31" customWidth="1"/>
    <col min="9" max="9" width="10.00390625" style="31" customWidth="1"/>
    <col min="10" max="10" width="9.8515625" style="31" customWidth="1"/>
    <col min="11" max="11" width="9.28125" style="31" customWidth="1"/>
    <col min="12" max="14" width="9.8515625" style="31" customWidth="1"/>
    <col min="15" max="23" width="9.8515625" style="31" hidden="1" customWidth="1"/>
    <col min="24" max="39" width="9.8515625" style="31" customWidth="1"/>
    <col min="40" max="40" width="11.421875" style="31" customWidth="1"/>
    <col min="41" max="41" width="11.00390625" style="31" customWidth="1"/>
    <col min="42" max="42" width="11.140625" style="31" customWidth="1"/>
    <col min="43" max="44" width="9.140625" style="31" customWidth="1"/>
    <col min="45" max="16384" width="9.140625" style="4" customWidth="1"/>
  </cols>
  <sheetData>
    <row r="1" spans="1:5" ht="15.75" hidden="1">
      <c r="A1" s="1" t="s">
        <v>0</v>
      </c>
      <c r="E1" s="18" t="s">
        <v>9</v>
      </c>
    </row>
    <row r="2" spans="1:5" ht="15.75" hidden="1">
      <c r="A2" s="1" t="s">
        <v>1</v>
      </c>
      <c r="E2" s="18" t="s">
        <v>11</v>
      </c>
    </row>
    <row r="3" spans="1:5" ht="15.75" hidden="1">
      <c r="A3" s="1" t="s">
        <v>2</v>
      </c>
      <c r="E3" s="18" t="s">
        <v>10</v>
      </c>
    </row>
    <row r="4" ht="15.75" hidden="1">
      <c r="A4" s="1" t="s">
        <v>3</v>
      </c>
    </row>
    <row r="5" ht="15" hidden="1"/>
    <row r="6" spans="1:5" ht="112.5" hidden="1">
      <c r="A6" s="2" t="s">
        <v>12</v>
      </c>
      <c r="B6" s="3"/>
      <c r="C6" s="3"/>
      <c r="D6" s="3"/>
      <c r="E6" s="20"/>
    </row>
    <row r="7" spans="1:5" ht="15" hidden="1">
      <c r="A7" s="3" t="s">
        <v>53</v>
      </c>
      <c r="B7" s="3"/>
      <c r="C7" s="3"/>
      <c r="D7" s="3"/>
      <c r="E7" s="21"/>
    </row>
    <row r="8" spans="1:6" ht="15.75" customHeight="1">
      <c r="A8" s="60" t="s">
        <v>0</v>
      </c>
      <c r="B8" s="61"/>
      <c r="C8" s="52"/>
      <c r="D8" s="53"/>
      <c r="E8" s="62" t="s">
        <v>9</v>
      </c>
      <c r="F8" s="63"/>
    </row>
    <row r="9" spans="1:6" ht="15">
      <c r="A9" s="61" t="s">
        <v>83</v>
      </c>
      <c r="B9" s="61"/>
      <c r="C9" s="52"/>
      <c r="D9" s="64" t="s">
        <v>114</v>
      </c>
      <c r="E9" s="63"/>
      <c r="F9" s="63"/>
    </row>
    <row r="10" spans="1:6" ht="15">
      <c r="A10" s="61" t="s">
        <v>84</v>
      </c>
      <c r="B10" s="61"/>
      <c r="C10" s="52"/>
      <c r="D10" s="64" t="s">
        <v>118</v>
      </c>
      <c r="E10" s="63"/>
      <c r="F10" s="63"/>
    </row>
    <row r="11" spans="1:5" ht="15">
      <c r="A11" s="61" t="s">
        <v>2</v>
      </c>
      <c r="B11" s="61"/>
      <c r="C11" s="52"/>
      <c r="D11" s="52"/>
      <c r="E11" s="21"/>
    </row>
    <row r="12" spans="1:5" ht="15" customHeight="1">
      <c r="A12" s="61" t="s">
        <v>138</v>
      </c>
      <c r="B12" s="61"/>
      <c r="C12" s="52"/>
      <c r="D12" s="52"/>
      <c r="E12" s="21"/>
    </row>
    <row r="13" spans="1:5" ht="15">
      <c r="A13" s="54"/>
      <c r="B13" s="54"/>
      <c r="C13" s="52"/>
      <c r="D13" s="52"/>
      <c r="E13" s="21"/>
    </row>
    <row r="14" spans="1:6" ht="15.75">
      <c r="A14" s="67" t="s">
        <v>86</v>
      </c>
      <c r="B14" s="67"/>
      <c r="C14" s="67"/>
      <c r="D14" s="67"/>
      <c r="E14" s="67"/>
      <c r="F14" s="67"/>
    </row>
    <row r="15" spans="1:6" ht="15.75">
      <c r="A15" s="67" t="s">
        <v>87</v>
      </c>
      <c r="B15" s="67"/>
      <c r="C15" s="67"/>
      <c r="D15" s="67"/>
      <c r="E15" s="67"/>
      <c r="F15" s="67"/>
    </row>
    <row r="16" spans="1:6" ht="15.75">
      <c r="A16" s="67" t="s">
        <v>88</v>
      </c>
      <c r="B16" s="67"/>
      <c r="C16" s="67"/>
      <c r="D16" s="67"/>
      <c r="E16" s="67"/>
      <c r="F16" s="67"/>
    </row>
    <row r="17" spans="1:6" ht="15">
      <c r="A17" s="80" t="s">
        <v>90</v>
      </c>
      <c r="B17" s="81"/>
      <c r="C17" s="81"/>
      <c r="D17" s="81"/>
      <c r="E17" s="81"/>
      <c r="F17" s="81"/>
    </row>
    <row r="18" spans="1:5" ht="15">
      <c r="A18" s="3"/>
      <c r="B18" s="3"/>
      <c r="C18" s="3"/>
      <c r="D18" s="3"/>
      <c r="E18" s="55"/>
    </row>
    <row r="19" spans="1:9" ht="28.5">
      <c r="A19" s="10" t="s">
        <v>47</v>
      </c>
      <c r="B19" s="3"/>
      <c r="C19" s="3"/>
      <c r="D19" s="3"/>
      <c r="E19" s="48"/>
      <c r="H19" s="51">
        <v>3668.8</v>
      </c>
      <c r="I19" s="31">
        <v>77549.72</v>
      </c>
    </row>
    <row r="20" ht="15">
      <c r="D20" s="16"/>
    </row>
    <row r="21" spans="1:42" ht="42" customHeight="1">
      <c r="A21" s="74" t="s">
        <v>8</v>
      </c>
      <c r="B21" s="74" t="s">
        <v>4</v>
      </c>
      <c r="C21" s="28" t="s">
        <v>5</v>
      </c>
      <c r="D21" s="75" t="s">
        <v>6</v>
      </c>
      <c r="E21" s="77" t="s">
        <v>7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3"/>
    </row>
    <row r="22" spans="1:42" ht="14.25" customHeight="1">
      <c r="A22" s="74"/>
      <c r="B22" s="74"/>
      <c r="C22" s="28"/>
      <c r="D22" s="76"/>
      <c r="E22" s="77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6"/>
    </row>
    <row r="23" spans="1:44" s="11" customFormat="1" ht="51">
      <c r="A23" s="23">
        <v>1</v>
      </c>
      <c r="B23" s="24" t="s">
        <v>13</v>
      </c>
      <c r="C23" s="25"/>
      <c r="D23" s="44">
        <f>D24+D25+D54+D55</f>
        <v>1725140.193928747</v>
      </c>
      <c r="E23" s="50">
        <f>E24+E25+E54+E55</f>
        <v>39.18493317362503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6"/>
      <c r="AQ23" s="38"/>
      <c r="AR23" s="38"/>
    </row>
    <row r="24" spans="1:44" ht="51.75" customHeight="1">
      <c r="A24" s="8">
        <v>2</v>
      </c>
      <c r="B24" s="5" t="s">
        <v>45</v>
      </c>
      <c r="C24" s="13" t="s">
        <v>54</v>
      </c>
      <c r="D24" s="45">
        <f>1905742.15/77549.72*3668.8</f>
        <v>90158.76266116757</v>
      </c>
      <c r="E24" s="26">
        <f>D24/H19/12</f>
        <v>2.0478712989980274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6"/>
      <c r="AQ24" s="40"/>
      <c r="AR24" s="40"/>
    </row>
    <row r="25" spans="1:44" ht="25.5">
      <c r="A25" s="8">
        <v>3</v>
      </c>
      <c r="B25" s="5" t="s">
        <v>29</v>
      </c>
      <c r="C25" s="13"/>
      <c r="D25" s="45">
        <f>D26+D27+D28+D29+D30+D31+D32+D33+D34+D35+D36+D37+D38+D39+D40+D41+D42+D43+D44+D45+D46+D47+D48+D49+D50+D51+D52+D53+D54+D55+D56</f>
        <v>1634981.4312675793</v>
      </c>
      <c r="E25" s="26">
        <f>SUM(E26:E56)</f>
        <v>37.13706187462701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0"/>
      <c r="AR25" s="40"/>
    </row>
    <row r="26" spans="1:44" ht="25.5">
      <c r="A26" s="9">
        <v>3.1</v>
      </c>
      <c r="B26" s="5" t="s">
        <v>14</v>
      </c>
      <c r="C26" s="13"/>
      <c r="D26" s="46"/>
      <c r="E26" s="27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6"/>
      <c r="AQ26" s="40"/>
      <c r="AR26" s="40"/>
    </row>
    <row r="27" spans="1:44" ht="24">
      <c r="A27" s="6">
        <v>3.2</v>
      </c>
      <c r="B27" s="5" t="s">
        <v>15</v>
      </c>
      <c r="C27" s="13" t="s">
        <v>57</v>
      </c>
      <c r="D27" s="46">
        <f>353626/77549.72*3668.8</f>
        <v>16729.693786128435</v>
      </c>
      <c r="E27" s="27">
        <f>D27/H19/12</f>
        <v>0.3799992228641616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36"/>
      <c r="AQ27" s="40"/>
      <c r="AR27" s="40"/>
    </row>
    <row r="28" spans="1:44" ht="25.5">
      <c r="A28" s="9">
        <v>3.3</v>
      </c>
      <c r="B28" s="5" t="s">
        <v>16</v>
      </c>
      <c r="C28" s="13" t="s">
        <v>59</v>
      </c>
      <c r="D28" s="46">
        <f>158201/77549.72*3668.8</f>
        <v>7484.33171389916</v>
      </c>
      <c r="E28" s="27">
        <f>D28/H19/12</f>
        <v>0.1699995392203436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36"/>
      <c r="AQ28" s="40"/>
      <c r="AR28" s="40"/>
    </row>
    <row r="29" spans="1:44" ht="34.5" customHeight="1">
      <c r="A29" s="6" t="s">
        <v>68</v>
      </c>
      <c r="B29" s="5" t="s">
        <v>17</v>
      </c>
      <c r="C29" s="13" t="s">
        <v>56</v>
      </c>
      <c r="D29" s="46"/>
      <c r="E29" s="27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6"/>
      <c r="AQ29" s="40"/>
      <c r="AR29" s="40"/>
    </row>
    <row r="30" spans="1:44" ht="34.5" customHeight="1">
      <c r="A30" s="6" t="s">
        <v>69</v>
      </c>
      <c r="B30" s="5" t="s">
        <v>70</v>
      </c>
      <c r="C30" s="13"/>
      <c r="D30" s="46"/>
      <c r="E30" s="27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6"/>
      <c r="AQ30" s="40"/>
      <c r="AR30" s="40"/>
    </row>
    <row r="31" spans="1:44" ht="41.25" customHeight="1">
      <c r="A31" s="6" t="s">
        <v>71</v>
      </c>
      <c r="B31" s="5" t="s">
        <v>72</v>
      </c>
      <c r="C31" s="13"/>
      <c r="D31" s="46"/>
      <c r="E31" s="27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6"/>
      <c r="AQ31" s="40"/>
      <c r="AR31" s="40"/>
    </row>
    <row r="32" spans="1:44" ht="25.5">
      <c r="A32" s="9">
        <v>3.7</v>
      </c>
      <c r="B32" s="5" t="s">
        <v>18</v>
      </c>
      <c r="C32" s="13" t="s">
        <v>57</v>
      </c>
      <c r="D32" s="46">
        <f>2345097/77549.72*3668.8</f>
        <v>110944.20293973983</v>
      </c>
      <c r="E32" s="27">
        <f>D32/H19/12</f>
        <v>2.5199929799875487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36"/>
      <c r="AQ32" s="40"/>
      <c r="AR32" s="40"/>
    </row>
    <row r="33" spans="1:44" ht="25.5">
      <c r="A33" s="6">
        <v>3.8</v>
      </c>
      <c r="B33" s="5" t="s">
        <v>64</v>
      </c>
      <c r="C33" s="13" t="s">
        <v>57</v>
      </c>
      <c r="D33" s="46">
        <f>651416/77549.72*3668.8</f>
        <v>30817.842034761696</v>
      </c>
      <c r="E33" s="27">
        <f>D33/H19/12</f>
        <v>0.6999982290931116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36"/>
      <c r="AQ33" s="40"/>
      <c r="AR33" s="40"/>
    </row>
    <row r="34" spans="1:44" ht="25.5">
      <c r="A34" s="9">
        <v>3.9</v>
      </c>
      <c r="B34" s="5" t="s">
        <v>19</v>
      </c>
      <c r="C34" s="13" t="s">
        <v>57</v>
      </c>
      <c r="D34" s="46">
        <f>697946/77549.72*3668.8</f>
        <v>33019.12998267434</v>
      </c>
      <c r="E34" s="27">
        <f>D34/H19/12</f>
        <v>0.7499984096224547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36"/>
      <c r="AQ34" s="40"/>
      <c r="AR34" s="40"/>
    </row>
    <row r="35" spans="1:44" ht="25.5">
      <c r="A35" s="6" t="s">
        <v>30</v>
      </c>
      <c r="B35" s="5" t="s">
        <v>65</v>
      </c>
      <c r="C35" s="13" t="s">
        <v>57</v>
      </c>
      <c r="D35" s="46"/>
      <c r="E35" s="27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36"/>
      <c r="AQ35" s="40"/>
      <c r="AR35" s="40"/>
    </row>
    <row r="36" spans="1:44" ht="25.5">
      <c r="A36" s="6" t="s">
        <v>31</v>
      </c>
      <c r="B36" s="5" t="s">
        <v>66</v>
      </c>
      <c r="C36" s="13"/>
      <c r="D36" s="46"/>
      <c r="E36" s="27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36"/>
      <c r="AQ36" s="40"/>
      <c r="AR36" s="40"/>
    </row>
    <row r="37" spans="1:44" ht="40.5" customHeight="1">
      <c r="A37" s="6" t="s">
        <v>32</v>
      </c>
      <c r="B37" s="5" t="s">
        <v>20</v>
      </c>
      <c r="C37" s="13"/>
      <c r="D37" s="46"/>
      <c r="E37" s="27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36"/>
      <c r="AQ37" s="40"/>
      <c r="AR37" s="40"/>
    </row>
    <row r="38" spans="1:44" ht="51">
      <c r="A38" s="6" t="s">
        <v>33</v>
      </c>
      <c r="B38" s="5" t="s">
        <v>21</v>
      </c>
      <c r="C38" s="13" t="s">
        <v>58</v>
      </c>
      <c r="D38" s="46">
        <f>2373015/77549.72*3668.8</f>
        <v>112264.97570848741</v>
      </c>
      <c r="E38" s="27">
        <f>D38/H19/12</f>
        <v>2.5499930883051545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36"/>
      <c r="AQ38" s="40"/>
      <c r="AR38" s="40"/>
    </row>
    <row r="39" spans="1:44" ht="33" customHeight="1">
      <c r="A39" s="6" t="s">
        <v>34</v>
      </c>
      <c r="B39" s="5" t="s">
        <v>73</v>
      </c>
      <c r="C39" s="13"/>
      <c r="D39" s="46"/>
      <c r="E39" s="27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36"/>
      <c r="AQ39" s="40"/>
      <c r="AR39" s="40"/>
    </row>
    <row r="40" spans="1:44" ht="41.25" customHeight="1">
      <c r="A40" s="6" t="s">
        <v>35</v>
      </c>
      <c r="B40" s="5" t="s">
        <v>22</v>
      </c>
      <c r="C40" s="13"/>
      <c r="D40" s="46"/>
      <c r="E40" s="27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36"/>
      <c r="AQ40" s="40"/>
      <c r="AR40" s="40"/>
    </row>
    <row r="41" spans="1:44" ht="41.25" customHeight="1">
      <c r="A41" s="6" t="s">
        <v>36</v>
      </c>
      <c r="B41" s="5" t="s">
        <v>74</v>
      </c>
      <c r="C41" s="13"/>
      <c r="D41" s="46"/>
      <c r="E41" s="27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36"/>
      <c r="AQ41" s="40"/>
      <c r="AR41" s="40"/>
    </row>
    <row r="42" spans="1:44" ht="40.5" customHeight="1">
      <c r="A42" s="6" t="s">
        <v>37</v>
      </c>
      <c r="B42" s="5" t="s">
        <v>75</v>
      </c>
      <c r="C42" s="13" t="s">
        <v>54</v>
      </c>
      <c r="D42" s="47">
        <f>2696000/77549.72*3668.8</f>
        <v>127545.07430845658</v>
      </c>
      <c r="E42" s="27">
        <f>D42/H19/12</f>
        <v>2.8970661230842185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36"/>
      <c r="AQ42" s="40"/>
      <c r="AR42" s="40"/>
    </row>
    <row r="43" spans="1:44" ht="51">
      <c r="A43" s="6" t="s">
        <v>38</v>
      </c>
      <c r="B43" s="5" t="s">
        <v>67</v>
      </c>
      <c r="C43" s="13"/>
      <c r="D43" s="46"/>
      <c r="E43" s="27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36"/>
      <c r="AQ43" s="40"/>
      <c r="AR43" s="40"/>
    </row>
    <row r="44" spans="1:44" ht="40.5" customHeight="1">
      <c r="A44" s="6" t="s">
        <v>39</v>
      </c>
      <c r="B44" s="5" t="s">
        <v>76</v>
      </c>
      <c r="C44" s="13"/>
      <c r="D44" s="46"/>
      <c r="E44" s="27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36"/>
      <c r="AQ44" s="40"/>
      <c r="AR44" s="40"/>
    </row>
    <row r="45" spans="1:44" ht="39" customHeight="1">
      <c r="A45" s="6" t="s">
        <v>40</v>
      </c>
      <c r="B45" s="5" t="s">
        <v>77</v>
      </c>
      <c r="C45" s="13" t="s">
        <v>54</v>
      </c>
      <c r="D45" s="29">
        <f>1448000/77549.72*3668.8</f>
        <v>68503.43753658942</v>
      </c>
      <c r="E45" s="27">
        <f>D45/H19/12</f>
        <v>1.5559910037930074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36"/>
      <c r="AQ45" s="40"/>
      <c r="AR45" s="40"/>
    </row>
    <row r="46" spans="1:44" ht="39" customHeight="1">
      <c r="A46" s="6" t="s">
        <v>41</v>
      </c>
      <c r="B46" s="5" t="s">
        <v>78</v>
      </c>
      <c r="C46" s="13"/>
      <c r="D46" s="29"/>
      <c r="E46" s="27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36"/>
      <c r="AQ46" s="40"/>
      <c r="AR46" s="40"/>
    </row>
    <row r="47" spans="1:44" ht="25.5">
      <c r="A47" s="6" t="s">
        <v>42</v>
      </c>
      <c r="B47" s="5" t="s">
        <v>62</v>
      </c>
      <c r="C47" s="13" t="s">
        <v>54</v>
      </c>
      <c r="D47" s="46"/>
      <c r="E47" s="27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36"/>
      <c r="AQ47" s="40"/>
      <c r="AR47" s="40"/>
    </row>
    <row r="48" spans="1:44" ht="25.5">
      <c r="A48" s="6" t="s">
        <v>43</v>
      </c>
      <c r="B48" s="7" t="s">
        <v>63</v>
      </c>
      <c r="C48" s="13" t="s">
        <v>54</v>
      </c>
      <c r="D48" s="46">
        <f>13972201/77549.72*3668.8</f>
        <v>661010.9105332682</v>
      </c>
      <c r="E48" s="27">
        <f>D48/H19/12</f>
        <v>15.014239681759435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36"/>
      <c r="AQ48" s="40"/>
      <c r="AR48" s="40"/>
    </row>
    <row r="49" spans="1:44" ht="25.5">
      <c r="A49" s="6" t="s">
        <v>46</v>
      </c>
      <c r="B49" s="5" t="s">
        <v>23</v>
      </c>
      <c r="C49" s="13" t="s">
        <v>60</v>
      </c>
      <c r="D49" s="46">
        <f>465297/77549.72*3668.8</f>
        <v>22012.73755211495</v>
      </c>
      <c r="E49" s="27">
        <f>D49/H19/12</f>
        <v>0.49999858155516225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36"/>
      <c r="AQ49" s="40"/>
      <c r="AR49" s="40"/>
    </row>
    <row r="50" spans="1:44" ht="25.5">
      <c r="A50" s="6" t="s">
        <v>79</v>
      </c>
      <c r="B50" s="5" t="s">
        <v>24</v>
      </c>
      <c r="C50" s="13" t="s">
        <v>61</v>
      </c>
      <c r="D50" s="46">
        <f>5667319/77549.72*3668.8</f>
        <v>268115.216240626</v>
      </c>
      <c r="E50" s="27">
        <f>D50/H19/12</f>
        <v>6.089984378194187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36"/>
      <c r="AQ50" s="40"/>
      <c r="AR50" s="40"/>
    </row>
    <row r="51" spans="1:44" ht="38.25">
      <c r="A51" s="6" t="s">
        <v>80</v>
      </c>
      <c r="B51" s="5" t="s">
        <v>25</v>
      </c>
      <c r="C51" s="17" t="s">
        <v>55</v>
      </c>
      <c r="D51" s="29">
        <f>2308000/77549.72*3668.8</f>
        <v>109189.1808248953</v>
      </c>
      <c r="E51" s="27">
        <f>D51/H19/12</f>
        <v>2.4801293071507327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36"/>
      <c r="AQ51" s="40"/>
      <c r="AR51" s="40"/>
    </row>
    <row r="52" spans="1:44" ht="25.5">
      <c r="A52" s="6" t="s">
        <v>81</v>
      </c>
      <c r="B52" s="5" t="s">
        <v>26</v>
      </c>
      <c r="C52" s="13" t="s">
        <v>54</v>
      </c>
      <c r="D52" s="29">
        <f>9000/77549.72*3668.8</f>
        <v>425.7810344125034</v>
      </c>
      <c r="E52" s="27">
        <f>D52/H19/12</f>
        <v>0.009671214802580848</v>
      </c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36"/>
      <c r="AQ52" s="40"/>
      <c r="AR52" s="40"/>
    </row>
    <row r="53" spans="1:44" ht="38.25">
      <c r="A53" s="6" t="s">
        <v>82</v>
      </c>
      <c r="B53" s="5" t="s">
        <v>27</v>
      </c>
      <c r="C53" s="14" t="s">
        <v>54</v>
      </c>
      <c r="D53" s="29">
        <f>1414507/77549.72*3668.8</f>
        <v>66918.91707152523</v>
      </c>
      <c r="E53" s="27">
        <f>D53/H19/12</f>
        <v>1.5200001151949145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36"/>
      <c r="AQ53" s="40"/>
      <c r="AR53" s="40"/>
    </row>
    <row r="54" spans="1:44" ht="25.5">
      <c r="A54" s="6" t="s">
        <v>44</v>
      </c>
      <c r="B54" s="5" t="s">
        <v>28</v>
      </c>
      <c r="C54" s="15" t="s">
        <v>54</v>
      </c>
      <c r="D54" s="46"/>
      <c r="E54" s="27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36"/>
      <c r="AQ54" s="40"/>
      <c r="AR54" s="40"/>
    </row>
    <row r="55" spans="1:44" ht="38.25">
      <c r="A55" s="6" t="s">
        <v>48</v>
      </c>
      <c r="B55" s="5" t="s">
        <v>49</v>
      </c>
      <c r="C55" s="13" t="s">
        <v>52</v>
      </c>
      <c r="D55" s="46"/>
      <c r="E55" s="27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36"/>
      <c r="AQ55" s="40"/>
      <c r="AR55" s="40"/>
    </row>
    <row r="56" spans="1:44" ht="38.25">
      <c r="A56" s="6" t="s">
        <v>50</v>
      </c>
      <c r="B56" s="5" t="s">
        <v>51</v>
      </c>
      <c r="C56" s="13" t="s">
        <v>52</v>
      </c>
      <c r="D56" s="46"/>
      <c r="E56" s="27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36"/>
      <c r="AQ56" s="40"/>
      <c r="AR56" s="40"/>
    </row>
    <row r="57" spans="4:5" ht="15">
      <c r="D57" s="12"/>
      <c r="E57" s="22"/>
    </row>
    <row r="58" spans="4:5" ht="15">
      <c r="D58" s="12"/>
      <c r="E58" s="22"/>
    </row>
    <row r="59" spans="4:5" ht="15">
      <c r="D59" s="12"/>
      <c r="E59" s="22"/>
    </row>
    <row r="60" spans="4:5" ht="15">
      <c r="D60" s="12"/>
      <c r="E60" s="22"/>
    </row>
    <row r="61" spans="4:5" ht="15">
      <c r="D61" s="12"/>
      <c r="E61" s="22"/>
    </row>
    <row r="62" spans="4:5" ht="15">
      <c r="D62" s="12"/>
      <c r="E62" s="22"/>
    </row>
    <row r="63" spans="4:5" ht="15">
      <c r="D63" s="12"/>
      <c r="E63" s="22"/>
    </row>
    <row r="64" spans="4:5" ht="15">
      <c r="D64" s="12"/>
      <c r="E64" s="22"/>
    </row>
    <row r="65" spans="4:5" ht="15">
      <c r="D65" s="12"/>
      <c r="E65" s="22"/>
    </row>
    <row r="66" spans="4:5" ht="15">
      <c r="D66" s="12"/>
      <c r="E66" s="22"/>
    </row>
    <row r="67" spans="4:5" ht="15">
      <c r="D67" s="12"/>
      <c r="E67" s="22"/>
    </row>
    <row r="68" spans="4:5" ht="15">
      <c r="D68" s="12"/>
      <c r="E68" s="22"/>
    </row>
    <row r="69" spans="4:5" ht="15">
      <c r="D69" s="12"/>
      <c r="E69" s="22"/>
    </row>
    <row r="70" spans="4:5" ht="15">
      <c r="D70" s="12"/>
      <c r="E70" s="22"/>
    </row>
    <row r="71" spans="4:5" ht="15">
      <c r="D71" s="12"/>
      <c r="E71" s="22"/>
    </row>
    <row r="72" spans="4:5" ht="15">
      <c r="D72" s="12"/>
      <c r="E72" s="22"/>
    </row>
    <row r="73" spans="4:5" ht="15">
      <c r="D73" s="12"/>
      <c r="E73" s="22"/>
    </row>
    <row r="74" spans="4:5" ht="15">
      <c r="D74" s="12"/>
      <c r="E74" s="22"/>
    </row>
    <row r="75" spans="4:5" ht="15">
      <c r="D75" s="12"/>
      <c r="E75" s="22"/>
    </row>
    <row r="76" spans="4:5" ht="15">
      <c r="D76" s="12"/>
      <c r="E76" s="22"/>
    </row>
    <row r="77" spans="4:5" ht="15">
      <c r="D77" s="12"/>
      <c r="E77" s="22"/>
    </row>
    <row r="78" spans="4:5" ht="15">
      <c r="D78" s="12"/>
      <c r="E78" s="22"/>
    </row>
    <row r="79" spans="4:5" ht="15">
      <c r="D79" s="12"/>
      <c r="E79" s="22"/>
    </row>
    <row r="80" spans="4:5" ht="15">
      <c r="D80" s="12"/>
      <c r="E80" s="22"/>
    </row>
    <row r="81" spans="4:5" ht="15">
      <c r="D81" s="12"/>
      <c r="E81" s="22"/>
    </row>
    <row r="82" spans="4:5" ht="15">
      <c r="D82" s="12"/>
      <c r="E82" s="22"/>
    </row>
    <row r="83" spans="4:5" ht="15">
      <c r="D83" s="12"/>
      <c r="E83" s="22"/>
    </row>
    <row r="84" spans="4:5" ht="15">
      <c r="D84" s="12"/>
      <c r="E84" s="22"/>
    </row>
    <row r="85" spans="4:5" ht="15">
      <c r="D85" s="12"/>
      <c r="E85" s="22"/>
    </row>
    <row r="86" spans="4:5" ht="15">
      <c r="D86" s="12"/>
      <c r="E86" s="22"/>
    </row>
    <row r="87" spans="4:5" ht="15">
      <c r="D87" s="12"/>
      <c r="E87" s="22"/>
    </row>
    <row r="88" spans="4:5" ht="15">
      <c r="D88" s="12"/>
      <c r="E88" s="22"/>
    </row>
    <row r="89" spans="4:5" ht="15">
      <c r="D89" s="12"/>
      <c r="E89" s="22"/>
    </row>
    <row r="90" spans="4:5" ht="15">
      <c r="D90" s="12"/>
      <c r="E90" s="22"/>
    </row>
    <row r="91" spans="4:5" ht="15">
      <c r="D91" s="12"/>
      <c r="E91" s="22"/>
    </row>
    <row r="92" spans="4:5" ht="15">
      <c r="D92" s="12"/>
      <c r="E92" s="22"/>
    </row>
    <row r="93" spans="4:5" ht="15">
      <c r="D93" s="12"/>
      <c r="E93" s="22"/>
    </row>
    <row r="94" spans="4:5" ht="15">
      <c r="D94" s="12"/>
      <c r="E94" s="22"/>
    </row>
    <row r="95" spans="4:5" ht="15">
      <c r="D95" s="12"/>
      <c r="E95" s="22"/>
    </row>
    <row r="96" spans="4:5" ht="15">
      <c r="D96" s="12"/>
      <c r="E96" s="22"/>
    </row>
    <row r="97" spans="4:5" ht="15">
      <c r="D97" s="12"/>
      <c r="E97" s="22"/>
    </row>
    <row r="98" spans="4:5" ht="15">
      <c r="D98" s="12"/>
      <c r="E98" s="22"/>
    </row>
    <row r="99" spans="4:5" ht="15">
      <c r="D99" s="12"/>
      <c r="E99" s="22"/>
    </row>
    <row r="100" spans="4:5" ht="15">
      <c r="D100" s="12"/>
      <c r="E100" s="22"/>
    </row>
    <row r="101" spans="4:5" ht="15">
      <c r="D101" s="12"/>
      <c r="E101" s="22"/>
    </row>
    <row r="102" spans="4:5" ht="15">
      <c r="D102" s="12"/>
      <c r="E102" s="22"/>
    </row>
    <row r="103" spans="4:5" ht="15">
      <c r="D103" s="12"/>
      <c r="E103" s="22"/>
    </row>
    <row r="104" spans="4:5" ht="15">
      <c r="D104" s="12"/>
      <c r="E104" s="22"/>
    </row>
    <row r="105" spans="4:5" ht="15">
      <c r="D105" s="12"/>
      <c r="E105" s="22"/>
    </row>
    <row r="106" spans="4:5" ht="15">
      <c r="D106" s="12"/>
      <c r="E106" s="22"/>
    </row>
    <row r="107" spans="4:5" ht="15">
      <c r="D107" s="12"/>
      <c r="E107" s="22"/>
    </row>
    <row r="108" spans="4:5" ht="15">
      <c r="D108" s="12"/>
      <c r="E108" s="22"/>
    </row>
    <row r="109" spans="4:5" ht="15">
      <c r="D109" s="12"/>
      <c r="E109" s="22"/>
    </row>
    <row r="110" spans="4:5" ht="15">
      <c r="D110" s="12"/>
      <c r="E110" s="22"/>
    </row>
    <row r="111" spans="4:5" ht="15">
      <c r="D111" s="12"/>
      <c r="E111" s="22"/>
    </row>
    <row r="112" spans="4:5" ht="15">
      <c r="D112" s="12"/>
      <c r="E112" s="22"/>
    </row>
    <row r="113" spans="4:5" ht="15">
      <c r="D113" s="12"/>
      <c r="E113" s="22"/>
    </row>
    <row r="114" spans="4:5" ht="15">
      <c r="D114" s="12"/>
      <c r="E114" s="22"/>
    </row>
    <row r="115" spans="4:5" ht="15">
      <c r="D115" s="12"/>
      <c r="E115" s="22"/>
    </row>
    <row r="116" spans="4:5" ht="15">
      <c r="D116" s="12"/>
      <c r="E116" s="22"/>
    </row>
    <row r="117" spans="4:5" ht="15">
      <c r="D117" s="12"/>
      <c r="E117" s="22"/>
    </row>
    <row r="118" spans="4:5" ht="15">
      <c r="D118" s="12"/>
      <c r="E118" s="22"/>
    </row>
    <row r="119" spans="4:5" ht="15">
      <c r="D119" s="12"/>
      <c r="E119" s="22"/>
    </row>
    <row r="120" spans="4:5" ht="15">
      <c r="D120" s="12"/>
      <c r="E120" s="22"/>
    </row>
    <row r="121" spans="4:5" ht="15">
      <c r="D121" s="12"/>
      <c r="E121" s="22"/>
    </row>
    <row r="122" spans="4:5" ht="15">
      <c r="D122" s="12"/>
      <c r="E122" s="22"/>
    </row>
    <row r="123" spans="4:5" ht="15">
      <c r="D123" s="12"/>
      <c r="E123" s="22"/>
    </row>
    <row r="124" spans="4:5" ht="15">
      <c r="D124" s="12"/>
      <c r="E124" s="22"/>
    </row>
    <row r="125" spans="4:5" ht="15">
      <c r="D125" s="12"/>
      <c r="E125" s="22"/>
    </row>
    <row r="126" spans="4:5" ht="15">
      <c r="D126" s="12"/>
      <c r="E126" s="22"/>
    </row>
    <row r="127" spans="4:5" ht="15">
      <c r="D127" s="12"/>
      <c r="E127" s="22"/>
    </row>
    <row r="128" spans="4:5" ht="15">
      <c r="D128" s="12"/>
      <c r="E128" s="22"/>
    </row>
    <row r="129" spans="4:5" ht="15">
      <c r="D129" s="12"/>
      <c r="E129" s="22"/>
    </row>
    <row r="130" spans="4:5" ht="15">
      <c r="D130" s="12"/>
      <c r="E130" s="22"/>
    </row>
  </sheetData>
  <sheetProtection/>
  <mergeCells count="16">
    <mergeCell ref="A14:F14"/>
    <mergeCell ref="A15:F15"/>
    <mergeCell ref="A21:A22"/>
    <mergeCell ref="B21:B22"/>
    <mergeCell ref="D21:D22"/>
    <mergeCell ref="E21:E22"/>
    <mergeCell ref="A16:F16"/>
    <mergeCell ref="A17:F17"/>
    <mergeCell ref="A8:B8"/>
    <mergeCell ref="E8:F8"/>
    <mergeCell ref="A9:B9"/>
    <mergeCell ref="D9:F9"/>
    <mergeCell ref="A10:B10"/>
    <mergeCell ref="D10:F10"/>
    <mergeCell ref="A11:B11"/>
    <mergeCell ref="A12:B12"/>
  </mergeCells>
  <printOptions/>
  <pageMargins left="1.1811023622047245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130"/>
  <sheetViews>
    <sheetView zoomScalePageLayoutView="0" workbookViewId="0" topLeftCell="A8">
      <selection activeCell="A12" sqref="A12:B12"/>
    </sheetView>
  </sheetViews>
  <sheetFormatPr defaultColWidth="9.140625" defaultRowHeight="15"/>
  <cols>
    <col min="1" max="1" width="5.8515625" style="4" customWidth="1"/>
    <col min="2" max="2" width="38.00390625" style="4" customWidth="1"/>
    <col min="3" max="3" width="17.7109375" style="4" hidden="1" customWidth="1"/>
    <col min="4" max="4" width="14.28125" style="4" customWidth="1"/>
    <col min="5" max="5" width="13.7109375" style="19" customWidth="1"/>
    <col min="6" max="6" width="10.140625" style="30" customWidth="1"/>
    <col min="7" max="7" width="10.57421875" style="31" customWidth="1"/>
    <col min="8" max="8" width="10.421875" style="31" customWidth="1"/>
    <col min="9" max="9" width="10.00390625" style="31" customWidth="1"/>
    <col min="10" max="10" width="9.8515625" style="31" customWidth="1"/>
    <col min="11" max="11" width="9.28125" style="31" customWidth="1"/>
    <col min="12" max="14" width="9.8515625" style="31" customWidth="1"/>
    <col min="15" max="23" width="9.8515625" style="31" hidden="1" customWidth="1"/>
    <col min="24" max="39" width="9.8515625" style="31" customWidth="1"/>
    <col min="40" max="40" width="11.421875" style="31" customWidth="1"/>
    <col min="41" max="41" width="11.00390625" style="31" customWidth="1"/>
    <col min="42" max="42" width="11.140625" style="31" customWidth="1"/>
    <col min="43" max="44" width="9.140625" style="31" customWidth="1"/>
    <col min="45" max="16384" width="9.140625" style="4" customWidth="1"/>
  </cols>
  <sheetData>
    <row r="1" spans="1:5" ht="15.75" hidden="1">
      <c r="A1" s="1" t="s">
        <v>0</v>
      </c>
      <c r="E1" s="18" t="s">
        <v>9</v>
      </c>
    </row>
    <row r="2" spans="1:5" ht="15.75" hidden="1">
      <c r="A2" s="1" t="s">
        <v>1</v>
      </c>
      <c r="E2" s="18" t="s">
        <v>11</v>
      </c>
    </row>
    <row r="3" spans="1:5" ht="15.75" hidden="1">
      <c r="A3" s="1" t="s">
        <v>2</v>
      </c>
      <c r="E3" s="18" t="s">
        <v>10</v>
      </c>
    </row>
    <row r="4" ht="15.75" hidden="1">
      <c r="A4" s="1" t="s">
        <v>3</v>
      </c>
    </row>
    <row r="5" ht="15" hidden="1"/>
    <row r="6" spans="1:5" ht="112.5" hidden="1">
      <c r="A6" s="2" t="s">
        <v>12</v>
      </c>
      <c r="B6" s="3"/>
      <c r="C6" s="3"/>
      <c r="D6" s="3"/>
      <c r="E6" s="20"/>
    </row>
    <row r="7" spans="1:5" ht="15" hidden="1">
      <c r="A7" s="3" t="s">
        <v>53</v>
      </c>
      <c r="B7" s="3"/>
      <c r="C7" s="3"/>
      <c r="D7" s="3"/>
      <c r="E7" s="21"/>
    </row>
    <row r="8" spans="1:6" ht="15.75" customHeight="1">
      <c r="A8" s="60" t="s">
        <v>0</v>
      </c>
      <c r="B8" s="61"/>
      <c r="C8" s="52"/>
      <c r="D8" s="53"/>
      <c r="E8" s="62" t="s">
        <v>9</v>
      </c>
      <c r="F8" s="63"/>
    </row>
    <row r="9" spans="1:6" ht="15">
      <c r="A9" s="61" t="s">
        <v>83</v>
      </c>
      <c r="B9" s="61"/>
      <c r="C9" s="52"/>
      <c r="D9" s="64" t="s">
        <v>114</v>
      </c>
      <c r="E9" s="63"/>
      <c r="F9" s="63"/>
    </row>
    <row r="10" spans="1:6" ht="15">
      <c r="A10" s="61" t="s">
        <v>84</v>
      </c>
      <c r="B10" s="61"/>
      <c r="C10" s="52"/>
      <c r="D10" s="64" t="s">
        <v>118</v>
      </c>
      <c r="E10" s="63"/>
      <c r="F10" s="63"/>
    </row>
    <row r="11" spans="1:5" ht="15">
      <c r="A11" s="61" t="s">
        <v>2</v>
      </c>
      <c r="B11" s="61"/>
      <c r="C11" s="52"/>
      <c r="D11" s="52"/>
      <c r="E11" s="21"/>
    </row>
    <row r="12" spans="1:5" ht="15" customHeight="1">
      <c r="A12" s="61" t="s">
        <v>139</v>
      </c>
      <c r="B12" s="61"/>
      <c r="C12" s="52"/>
      <c r="D12" s="52"/>
      <c r="E12" s="21"/>
    </row>
    <row r="13" spans="1:5" ht="15">
      <c r="A13" s="54"/>
      <c r="B13" s="54"/>
      <c r="C13" s="52"/>
      <c r="D13" s="52"/>
      <c r="E13" s="21"/>
    </row>
    <row r="14" spans="1:6" ht="15.75">
      <c r="A14" s="67" t="s">
        <v>86</v>
      </c>
      <c r="B14" s="67"/>
      <c r="C14" s="67"/>
      <c r="D14" s="67"/>
      <c r="E14" s="67"/>
      <c r="F14" s="67"/>
    </row>
    <row r="15" spans="1:6" ht="15.75">
      <c r="A15" s="67" t="s">
        <v>87</v>
      </c>
      <c r="B15" s="67"/>
      <c r="C15" s="67"/>
      <c r="D15" s="67"/>
      <c r="E15" s="67"/>
      <c r="F15" s="67"/>
    </row>
    <row r="16" spans="1:6" ht="15.75">
      <c r="A16" s="67" t="s">
        <v>88</v>
      </c>
      <c r="B16" s="67"/>
      <c r="C16" s="67"/>
      <c r="D16" s="67"/>
      <c r="E16" s="67"/>
      <c r="F16" s="67"/>
    </row>
    <row r="17" spans="1:6" ht="15">
      <c r="A17" s="80" t="s">
        <v>91</v>
      </c>
      <c r="B17" s="81"/>
      <c r="C17" s="81"/>
      <c r="D17" s="81"/>
      <c r="E17" s="81"/>
      <c r="F17" s="81"/>
    </row>
    <row r="18" spans="1:5" ht="15">
      <c r="A18" s="3"/>
      <c r="B18" s="3"/>
      <c r="C18" s="3"/>
      <c r="D18" s="3"/>
      <c r="E18" s="55"/>
    </row>
    <row r="19" spans="1:9" ht="28.5">
      <c r="A19" s="10" t="s">
        <v>47</v>
      </c>
      <c r="B19" s="3"/>
      <c r="C19" s="3"/>
      <c r="D19" s="3"/>
      <c r="E19" s="48"/>
      <c r="H19" s="51">
        <v>3664.36</v>
      </c>
      <c r="I19" s="31">
        <v>77549.72</v>
      </c>
    </row>
    <row r="20" ht="15">
      <c r="D20" s="16"/>
    </row>
    <row r="21" spans="1:42" ht="42" customHeight="1">
      <c r="A21" s="74" t="s">
        <v>8</v>
      </c>
      <c r="B21" s="74" t="s">
        <v>4</v>
      </c>
      <c r="C21" s="28" t="s">
        <v>5</v>
      </c>
      <c r="D21" s="75" t="s">
        <v>6</v>
      </c>
      <c r="E21" s="77" t="s">
        <v>7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3"/>
    </row>
    <row r="22" spans="1:42" ht="14.25" customHeight="1">
      <c r="A22" s="74"/>
      <c r="B22" s="74"/>
      <c r="C22" s="28"/>
      <c r="D22" s="76"/>
      <c r="E22" s="77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6"/>
    </row>
    <row r="23" spans="1:44" s="11" customFormat="1" ht="51">
      <c r="A23" s="23">
        <v>1</v>
      </c>
      <c r="B23" s="24" t="s">
        <v>13</v>
      </c>
      <c r="C23" s="25"/>
      <c r="D23" s="44">
        <f>D24+D25+D54+D55</f>
        <v>1723052.413601493</v>
      </c>
      <c r="E23" s="50">
        <f>E24+E25+E54+E55</f>
        <v>39.18493301243812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6"/>
      <c r="AQ23" s="38"/>
      <c r="AR23" s="38"/>
    </row>
    <row r="24" spans="1:44" ht="51.75" customHeight="1">
      <c r="A24" s="8">
        <v>2</v>
      </c>
      <c r="B24" s="5" t="s">
        <v>45</v>
      </c>
      <c r="C24" s="13" t="s">
        <v>54</v>
      </c>
      <c r="D24" s="45">
        <f>1905742/77549.72*3664.36</f>
        <v>90049.64499059442</v>
      </c>
      <c r="E24" s="26">
        <f>D24/H19/12</f>
        <v>2.0478711378111143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6"/>
      <c r="AQ24" s="40"/>
      <c r="AR24" s="40"/>
    </row>
    <row r="25" spans="1:44" ht="25.5">
      <c r="A25" s="8">
        <v>3</v>
      </c>
      <c r="B25" s="5" t="s">
        <v>29</v>
      </c>
      <c r="C25" s="13"/>
      <c r="D25" s="45">
        <f>D26+D27+D28+D29+D30+D31+D32+D33+D34+D35+D36+D37+D38+D39+D40+D41+D42+D43+D44+D45+D46+D47+D48+D49+D50+D51+D52+D53+D54+D55+D56</f>
        <v>1633002.7686108986</v>
      </c>
      <c r="E25" s="26">
        <f>SUM(E26:E56)</f>
        <v>37.13706187462701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0"/>
      <c r="AR25" s="40"/>
    </row>
    <row r="26" spans="1:44" ht="25.5">
      <c r="A26" s="9">
        <v>3.1</v>
      </c>
      <c r="B26" s="5" t="s">
        <v>14</v>
      </c>
      <c r="C26" s="13"/>
      <c r="D26" s="46"/>
      <c r="E26" s="27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6"/>
      <c r="AQ26" s="40"/>
      <c r="AR26" s="40"/>
    </row>
    <row r="27" spans="1:44" ht="24">
      <c r="A27" s="6">
        <v>3.2</v>
      </c>
      <c r="B27" s="5" t="s">
        <v>15</v>
      </c>
      <c r="C27" s="13" t="s">
        <v>57</v>
      </c>
      <c r="D27" s="46">
        <f>353626/77549.72*3664.36</f>
        <v>16709.447427534233</v>
      </c>
      <c r="E27" s="27">
        <f>D27/H19/12</f>
        <v>0.3799992228641616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36"/>
      <c r="AQ27" s="40"/>
      <c r="AR27" s="40"/>
    </row>
    <row r="28" spans="1:44" ht="25.5">
      <c r="A28" s="9">
        <v>3.3</v>
      </c>
      <c r="B28" s="5" t="s">
        <v>16</v>
      </c>
      <c r="C28" s="13" t="s">
        <v>59</v>
      </c>
      <c r="D28" s="46">
        <f>158201/77549.72*3664.36</f>
        <v>7475.2741384495</v>
      </c>
      <c r="E28" s="27">
        <f>D28/H19/12</f>
        <v>0.1699995392203436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36"/>
      <c r="AQ28" s="40"/>
      <c r="AR28" s="40"/>
    </row>
    <row r="29" spans="1:44" ht="34.5" customHeight="1">
      <c r="A29" s="6" t="s">
        <v>68</v>
      </c>
      <c r="B29" s="5" t="s">
        <v>17</v>
      </c>
      <c r="C29" s="13" t="s">
        <v>56</v>
      </c>
      <c r="D29" s="46"/>
      <c r="E29" s="27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6"/>
      <c r="AQ29" s="40"/>
      <c r="AR29" s="40"/>
    </row>
    <row r="30" spans="1:44" ht="34.5" customHeight="1">
      <c r="A30" s="6" t="s">
        <v>69</v>
      </c>
      <c r="B30" s="5" t="s">
        <v>70</v>
      </c>
      <c r="C30" s="13"/>
      <c r="D30" s="46"/>
      <c r="E30" s="27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6"/>
      <c r="AQ30" s="40"/>
      <c r="AR30" s="40"/>
    </row>
    <row r="31" spans="1:44" ht="41.25" customHeight="1">
      <c r="A31" s="6" t="s">
        <v>71</v>
      </c>
      <c r="B31" s="5" t="s">
        <v>72</v>
      </c>
      <c r="C31" s="13"/>
      <c r="D31" s="46"/>
      <c r="E31" s="27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6"/>
      <c r="AQ31" s="40"/>
      <c r="AR31" s="40"/>
    </row>
    <row r="32" spans="1:44" ht="25.5">
      <c r="A32" s="9">
        <v>3.7</v>
      </c>
      <c r="B32" s="5" t="s">
        <v>18</v>
      </c>
      <c r="C32" s="13" t="s">
        <v>57</v>
      </c>
      <c r="D32" s="46">
        <f>2345097/77549.72*3664.36</f>
        <v>110809.93771376608</v>
      </c>
      <c r="E32" s="27">
        <f>D32/H19/12</f>
        <v>2.5199929799875487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36"/>
      <c r="AQ32" s="40"/>
      <c r="AR32" s="40"/>
    </row>
    <row r="33" spans="1:44" ht="25.5">
      <c r="A33" s="6">
        <v>3.8</v>
      </c>
      <c r="B33" s="5" t="s">
        <v>64</v>
      </c>
      <c r="C33" s="13" t="s">
        <v>57</v>
      </c>
      <c r="D33" s="46">
        <f>651416/77549.72*3664.36</f>
        <v>30780.546129115617</v>
      </c>
      <c r="E33" s="27">
        <f>D33/H19/12</f>
        <v>0.6999982290931116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36"/>
      <c r="AQ33" s="40"/>
      <c r="AR33" s="40"/>
    </row>
    <row r="34" spans="1:44" ht="25.5">
      <c r="A34" s="9">
        <v>3.9</v>
      </c>
      <c r="B34" s="5" t="s">
        <v>19</v>
      </c>
      <c r="C34" s="13" t="s">
        <v>57</v>
      </c>
      <c r="D34" s="46">
        <f>697946/77549.72*3664.36</f>
        <v>32979.17006740966</v>
      </c>
      <c r="E34" s="27">
        <f>D34/H19/12</f>
        <v>0.7499984096224547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36"/>
      <c r="AQ34" s="40"/>
      <c r="AR34" s="40"/>
    </row>
    <row r="35" spans="1:44" ht="25.5">
      <c r="A35" s="6" t="s">
        <v>30</v>
      </c>
      <c r="B35" s="5" t="s">
        <v>65</v>
      </c>
      <c r="C35" s="13" t="s">
        <v>57</v>
      </c>
      <c r="D35" s="46"/>
      <c r="E35" s="27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36"/>
      <c r="AQ35" s="40"/>
      <c r="AR35" s="40"/>
    </row>
    <row r="36" spans="1:44" ht="25.5">
      <c r="A36" s="6" t="s">
        <v>31</v>
      </c>
      <c r="B36" s="5" t="s">
        <v>66</v>
      </c>
      <c r="C36" s="13"/>
      <c r="D36" s="46"/>
      <c r="E36" s="27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36"/>
      <c r="AQ36" s="40"/>
      <c r="AR36" s="40"/>
    </row>
    <row r="37" spans="1:44" ht="40.5" customHeight="1">
      <c r="A37" s="6" t="s">
        <v>32</v>
      </c>
      <c r="B37" s="5" t="s">
        <v>20</v>
      </c>
      <c r="C37" s="13"/>
      <c r="D37" s="46"/>
      <c r="E37" s="27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36"/>
      <c r="AQ37" s="40"/>
      <c r="AR37" s="40"/>
    </row>
    <row r="38" spans="1:44" ht="51">
      <c r="A38" s="6" t="s">
        <v>33</v>
      </c>
      <c r="B38" s="5" t="s">
        <v>21</v>
      </c>
      <c r="C38" s="13" t="s">
        <v>58</v>
      </c>
      <c r="D38" s="46">
        <f>2373015/77549.72*3664.36</f>
        <v>112129.1120767425</v>
      </c>
      <c r="E38" s="27">
        <f>D38/H19/12</f>
        <v>2.5499930883051545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36"/>
      <c r="AQ38" s="40"/>
      <c r="AR38" s="40"/>
    </row>
    <row r="39" spans="1:44" ht="33" customHeight="1">
      <c r="A39" s="6" t="s">
        <v>34</v>
      </c>
      <c r="B39" s="5" t="s">
        <v>73</v>
      </c>
      <c r="C39" s="13"/>
      <c r="D39" s="46"/>
      <c r="E39" s="27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36"/>
      <c r="AQ39" s="40"/>
      <c r="AR39" s="40"/>
    </row>
    <row r="40" spans="1:44" ht="41.25" customHeight="1">
      <c r="A40" s="6" t="s">
        <v>35</v>
      </c>
      <c r="B40" s="5" t="s">
        <v>22</v>
      </c>
      <c r="C40" s="13"/>
      <c r="D40" s="46"/>
      <c r="E40" s="27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36"/>
      <c r="AQ40" s="40"/>
      <c r="AR40" s="40"/>
    </row>
    <row r="41" spans="1:44" ht="41.25" customHeight="1">
      <c r="A41" s="6" t="s">
        <v>36</v>
      </c>
      <c r="B41" s="5" t="s">
        <v>74</v>
      </c>
      <c r="C41" s="13"/>
      <c r="D41" s="46"/>
      <c r="E41" s="27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36"/>
      <c r="AQ41" s="40"/>
      <c r="AR41" s="40"/>
    </row>
    <row r="42" spans="1:44" ht="40.5" customHeight="1">
      <c r="A42" s="6" t="s">
        <v>37</v>
      </c>
      <c r="B42" s="5" t="s">
        <v>75</v>
      </c>
      <c r="C42" s="13" t="s">
        <v>54</v>
      </c>
      <c r="D42" s="47">
        <f>2696000/77549.72*3664.36</f>
        <v>127390.71862541864</v>
      </c>
      <c r="E42" s="27">
        <f>D42/H19/12</f>
        <v>2.8970661230842185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36"/>
      <c r="AQ42" s="40"/>
      <c r="AR42" s="40"/>
    </row>
    <row r="43" spans="1:44" ht="51">
      <c r="A43" s="6" t="s">
        <v>38</v>
      </c>
      <c r="B43" s="5" t="s">
        <v>67</v>
      </c>
      <c r="C43" s="13"/>
      <c r="D43" s="46"/>
      <c r="E43" s="27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36"/>
      <c r="AQ43" s="40"/>
      <c r="AR43" s="40"/>
    </row>
    <row r="44" spans="1:44" ht="40.5" customHeight="1">
      <c r="A44" s="6" t="s">
        <v>39</v>
      </c>
      <c r="B44" s="5" t="s">
        <v>76</v>
      </c>
      <c r="C44" s="13"/>
      <c r="D44" s="46"/>
      <c r="E44" s="27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36"/>
      <c r="AQ44" s="40"/>
      <c r="AR44" s="40"/>
    </row>
    <row r="45" spans="1:44" ht="39" customHeight="1">
      <c r="A45" s="6" t="s">
        <v>40</v>
      </c>
      <c r="B45" s="5" t="s">
        <v>77</v>
      </c>
      <c r="C45" s="13" t="s">
        <v>54</v>
      </c>
      <c r="D45" s="29">
        <f>1448000/77549.72*3664.36</f>
        <v>68420.53433590733</v>
      </c>
      <c r="E45" s="27">
        <f>D45/H19/12</f>
        <v>1.5559910037930074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36"/>
      <c r="AQ45" s="40"/>
      <c r="AR45" s="40"/>
    </row>
    <row r="46" spans="1:44" ht="39" customHeight="1">
      <c r="A46" s="6" t="s">
        <v>41</v>
      </c>
      <c r="B46" s="5" t="s">
        <v>78</v>
      </c>
      <c r="C46" s="13"/>
      <c r="D46" s="29"/>
      <c r="E46" s="27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36"/>
      <c r="AQ46" s="40"/>
      <c r="AR46" s="40"/>
    </row>
    <row r="47" spans="1:44" ht="25.5">
      <c r="A47" s="6" t="s">
        <v>42</v>
      </c>
      <c r="B47" s="5" t="s">
        <v>62</v>
      </c>
      <c r="C47" s="13" t="s">
        <v>54</v>
      </c>
      <c r="D47" s="46"/>
      <c r="E47" s="27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36"/>
      <c r="AQ47" s="40"/>
      <c r="AR47" s="40"/>
    </row>
    <row r="48" spans="1:44" ht="25.5">
      <c r="A48" s="6" t="s">
        <v>43</v>
      </c>
      <c r="B48" s="7" t="s">
        <v>63</v>
      </c>
      <c r="C48" s="13" t="s">
        <v>54</v>
      </c>
      <c r="D48" s="46">
        <f>13972201/77549.72*3664.36</f>
        <v>660210.951843024</v>
      </c>
      <c r="E48" s="27">
        <f>D48/H19/12</f>
        <v>15.014239681759435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36"/>
      <c r="AQ48" s="40"/>
      <c r="AR48" s="40"/>
    </row>
    <row r="49" spans="1:44" ht="25.5">
      <c r="A49" s="6" t="s">
        <v>46</v>
      </c>
      <c r="B49" s="5" t="s">
        <v>23</v>
      </c>
      <c r="C49" s="13" t="s">
        <v>60</v>
      </c>
      <c r="D49" s="46">
        <f>465297/77549.72*3664.36</f>
        <v>21986.097627689694</v>
      </c>
      <c r="E49" s="27">
        <f>D49/H19/12</f>
        <v>0.49999858155516225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36"/>
      <c r="AQ49" s="40"/>
      <c r="AR49" s="40"/>
    </row>
    <row r="50" spans="1:44" ht="25.5">
      <c r="A50" s="6" t="s">
        <v>79</v>
      </c>
      <c r="B50" s="5" t="s">
        <v>24</v>
      </c>
      <c r="C50" s="13" t="s">
        <v>61</v>
      </c>
      <c r="D50" s="46">
        <f>5667319/77549.72*3664.36</f>
        <v>267790.7418729558</v>
      </c>
      <c r="E50" s="27">
        <f>D50/H19/12</f>
        <v>6.089984378194187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36"/>
      <c r="AQ50" s="40"/>
      <c r="AR50" s="40"/>
    </row>
    <row r="51" spans="1:44" ht="38.25">
      <c r="A51" s="6" t="s">
        <v>80</v>
      </c>
      <c r="B51" s="5" t="s">
        <v>25</v>
      </c>
      <c r="C51" s="17" t="s">
        <v>55</v>
      </c>
      <c r="D51" s="29">
        <f>2308000/77549.72*3664.36</f>
        <v>109057.03953541031</v>
      </c>
      <c r="E51" s="27">
        <f>D51/H19/12</f>
        <v>2.4801293071507327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36"/>
      <c r="AQ51" s="40"/>
      <c r="AR51" s="40"/>
    </row>
    <row r="52" spans="1:44" ht="25.5">
      <c r="A52" s="6" t="s">
        <v>81</v>
      </c>
      <c r="B52" s="5" t="s">
        <v>26</v>
      </c>
      <c r="C52" s="13" t="s">
        <v>54</v>
      </c>
      <c r="D52" s="29">
        <f>9000/77549.72*3664.36</f>
        <v>425.26575208782185</v>
      </c>
      <c r="E52" s="27">
        <f>D52/H19/12</f>
        <v>0.009671214802580848</v>
      </c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36"/>
      <c r="AQ52" s="40"/>
      <c r="AR52" s="40"/>
    </row>
    <row r="53" spans="1:44" ht="38.25">
      <c r="A53" s="6" t="s">
        <v>82</v>
      </c>
      <c r="B53" s="5" t="s">
        <v>27</v>
      </c>
      <c r="C53" s="14" t="s">
        <v>54</v>
      </c>
      <c r="D53" s="29">
        <f>1414507/77549.72*3664.36</f>
        <v>66837.93146538764</v>
      </c>
      <c r="E53" s="27">
        <f>D53/H19/12</f>
        <v>1.5200001151949143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36"/>
      <c r="AQ53" s="40"/>
      <c r="AR53" s="40"/>
    </row>
    <row r="54" spans="1:44" ht="25.5">
      <c r="A54" s="6" t="s">
        <v>44</v>
      </c>
      <c r="B54" s="5" t="s">
        <v>28</v>
      </c>
      <c r="C54" s="15" t="s">
        <v>54</v>
      </c>
      <c r="D54" s="46"/>
      <c r="E54" s="27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36"/>
      <c r="AQ54" s="40"/>
      <c r="AR54" s="40"/>
    </row>
    <row r="55" spans="1:44" ht="38.25">
      <c r="A55" s="6" t="s">
        <v>48</v>
      </c>
      <c r="B55" s="5" t="s">
        <v>49</v>
      </c>
      <c r="C55" s="13" t="s">
        <v>52</v>
      </c>
      <c r="D55" s="46"/>
      <c r="E55" s="27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36"/>
      <c r="AQ55" s="40"/>
      <c r="AR55" s="40"/>
    </row>
    <row r="56" spans="1:44" ht="38.25">
      <c r="A56" s="6" t="s">
        <v>50</v>
      </c>
      <c r="B56" s="5" t="s">
        <v>51</v>
      </c>
      <c r="C56" s="13" t="s">
        <v>52</v>
      </c>
      <c r="D56" s="46"/>
      <c r="E56" s="27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36"/>
      <c r="AQ56" s="40"/>
      <c r="AR56" s="40"/>
    </row>
    <row r="57" spans="4:5" ht="15">
      <c r="D57" s="12"/>
      <c r="E57" s="22"/>
    </row>
    <row r="58" spans="4:5" ht="15">
      <c r="D58" s="12"/>
      <c r="E58" s="22"/>
    </row>
    <row r="59" spans="4:5" ht="15">
      <c r="D59" s="12"/>
      <c r="E59" s="22"/>
    </row>
    <row r="60" spans="4:5" ht="15">
      <c r="D60" s="12"/>
      <c r="E60" s="22"/>
    </row>
    <row r="61" spans="4:5" ht="15">
      <c r="D61" s="12"/>
      <c r="E61" s="22"/>
    </row>
    <row r="62" spans="4:5" ht="15">
      <c r="D62" s="12"/>
      <c r="E62" s="22"/>
    </row>
    <row r="63" spans="4:5" ht="15">
      <c r="D63" s="12"/>
      <c r="E63" s="22"/>
    </row>
    <row r="64" spans="4:5" ht="15">
      <c r="D64" s="12"/>
      <c r="E64" s="22"/>
    </row>
    <row r="65" spans="4:5" ht="15">
      <c r="D65" s="12"/>
      <c r="E65" s="22"/>
    </row>
    <row r="66" spans="4:5" ht="15">
      <c r="D66" s="12"/>
      <c r="E66" s="22"/>
    </row>
    <row r="67" spans="4:5" ht="15">
      <c r="D67" s="12"/>
      <c r="E67" s="22"/>
    </row>
    <row r="68" spans="4:5" ht="15">
      <c r="D68" s="12"/>
      <c r="E68" s="22"/>
    </row>
    <row r="69" spans="4:5" ht="15">
      <c r="D69" s="12"/>
      <c r="E69" s="22"/>
    </row>
    <row r="70" spans="4:5" ht="15">
      <c r="D70" s="12"/>
      <c r="E70" s="22"/>
    </row>
    <row r="71" spans="4:5" ht="15">
      <c r="D71" s="12"/>
      <c r="E71" s="22"/>
    </row>
    <row r="72" spans="4:5" ht="15">
      <c r="D72" s="12"/>
      <c r="E72" s="22"/>
    </row>
    <row r="73" spans="4:5" ht="15">
      <c r="D73" s="12"/>
      <c r="E73" s="22"/>
    </row>
    <row r="74" spans="4:5" ht="15">
      <c r="D74" s="12"/>
      <c r="E74" s="22"/>
    </row>
    <row r="75" spans="4:5" ht="15">
      <c r="D75" s="12"/>
      <c r="E75" s="22"/>
    </row>
    <row r="76" spans="4:5" ht="15">
      <c r="D76" s="12"/>
      <c r="E76" s="22"/>
    </row>
    <row r="77" spans="4:5" ht="15">
      <c r="D77" s="12"/>
      <c r="E77" s="22"/>
    </row>
    <row r="78" spans="4:5" ht="15">
      <c r="D78" s="12"/>
      <c r="E78" s="22"/>
    </row>
    <row r="79" spans="4:5" ht="15">
      <c r="D79" s="12"/>
      <c r="E79" s="22"/>
    </row>
    <row r="80" spans="4:5" ht="15">
      <c r="D80" s="12"/>
      <c r="E80" s="22"/>
    </row>
    <row r="81" spans="4:5" ht="15">
      <c r="D81" s="12"/>
      <c r="E81" s="22"/>
    </row>
    <row r="82" spans="4:5" ht="15">
      <c r="D82" s="12"/>
      <c r="E82" s="22"/>
    </row>
    <row r="83" spans="4:5" ht="15">
      <c r="D83" s="12"/>
      <c r="E83" s="22"/>
    </row>
    <row r="84" spans="4:5" ht="15">
      <c r="D84" s="12"/>
      <c r="E84" s="22"/>
    </row>
    <row r="85" spans="4:5" ht="15">
      <c r="D85" s="12"/>
      <c r="E85" s="22"/>
    </row>
    <row r="86" spans="4:5" ht="15">
      <c r="D86" s="12"/>
      <c r="E86" s="22"/>
    </row>
    <row r="87" spans="4:5" ht="15">
      <c r="D87" s="12"/>
      <c r="E87" s="22"/>
    </row>
    <row r="88" spans="4:5" ht="15">
      <c r="D88" s="12"/>
      <c r="E88" s="22"/>
    </row>
    <row r="89" spans="4:5" ht="15">
      <c r="D89" s="12"/>
      <c r="E89" s="22"/>
    </row>
    <row r="90" spans="4:5" ht="15">
      <c r="D90" s="12"/>
      <c r="E90" s="22"/>
    </row>
    <row r="91" spans="4:5" ht="15">
      <c r="D91" s="12"/>
      <c r="E91" s="22"/>
    </row>
    <row r="92" spans="4:5" ht="15">
      <c r="D92" s="12"/>
      <c r="E92" s="22"/>
    </row>
    <row r="93" spans="4:5" ht="15">
      <c r="D93" s="12"/>
      <c r="E93" s="22"/>
    </row>
    <row r="94" spans="4:5" ht="15">
      <c r="D94" s="12"/>
      <c r="E94" s="22"/>
    </row>
    <row r="95" spans="4:5" ht="15">
      <c r="D95" s="12"/>
      <c r="E95" s="22"/>
    </row>
    <row r="96" spans="4:5" ht="15">
      <c r="D96" s="12"/>
      <c r="E96" s="22"/>
    </row>
    <row r="97" spans="4:5" ht="15">
      <c r="D97" s="12"/>
      <c r="E97" s="22"/>
    </row>
    <row r="98" spans="4:5" ht="15">
      <c r="D98" s="12"/>
      <c r="E98" s="22"/>
    </row>
    <row r="99" spans="4:5" ht="15">
      <c r="D99" s="12"/>
      <c r="E99" s="22"/>
    </row>
    <row r="100" spans="4:5" ht="15">
      <c r="D100" s="12"/>
      <c r="E100" s="22"/>
    </row>
    <row r="101" spans="4:5" ht="15">
      <c r="D101" s="12"/>
      <c r="E101" s="22"/>
    </row>
    <row r="102" spans="4:5" ht="15">
      <c r="D102" s="12"/>
      <c r="E102" s="22"/>
    </row>
    <row r="103" spans="4:5" ht="15">
      <c r="D103" s="12"/>
      <c r="E103" s="22"/>
    </row>
    <row r="104" spans="4:5" ht="15">
      <c r="D104" s="12"/>
      <c r="E104" s="22"/>
    </row>
    <row r="105" spans="4:5" ht="15">
      <c r="D105" s="12"/>
      <c r="E105" s="22"/>
    </row>
    <row r="106" spans="4:5" ht="15">
      <c r="D106" s="12"/>
      <c r="E106" s="22"/>
    </row>
    <row r="107" spans="4:5" ht="15">
      <c r="D107" s="12"/>
      <c r="E107" s="22"/>
    </row>
    <row r="108" spans="4:5" ht="15">
      <c r="D108" s="12"/>
      <c r="E108" s="22"/>
    </row>
    <row r="109" spans="4:5" ht="15">
      <c r="D109" s="12"/>
      <c r="E109" s="22"/>
    </row>
    <row r="110" spans="4:5" ht="15">
      <c r="D110" s="12"/>
      <c r="E110" s="22"/>
    </row>
    <row r="111" spans="4:5" ht="15">
      <c r="D111" s="12"/>
      <c r="E111" s="22"/>
    </row>
    <row r="112" spans="4:5" ht="15">
      <c r="D112" s="12"/>
      <c r="E112" s="22"/>
    </row>
    <row r="113" spans="4:5" ht="15">
      <c r="D113" s="12"/>
      <c r="E113" s="22"/>
    </row>
    <row r="114" spans="4:5" ht="15">
      <c r="D114" s="12"/>
      <c r="E114" s="22"/>
    </row>
    <row r="115" spans="4:5" ht="15">
      <c r="D115" s="12"/>
      <c r="E115" s="22"/>
    </row>
    <row r="116" spans="4:5" ht="15">
      <c r="D116" s="12"/>
      <c r="E116" s="22"/>
    </row>
    <row r="117" spans="4:5" ht="15">
      <c r="D117" s="12"/>
      <c r="E117" s="22"/>
    </row>
    <row r="118" spans="4:5" ht="15">
      <c r="D118" s="12"/>
      <c r="E118" s="22"/>
    </row>
    <row r="119" spans="4:5" ht="15">
      <c r="D119" s="12"/>
      <c r="E119" s="22"/>
    </row>
    <row r="120" spans="4:5" ht="15">
      <c r="D120" s="12"/>
      <c r="E120" s="22"/>
    </row>
    <row r="121" spans="4:5" ht="15">
      <c r="D121" s="12"/>
      <c r="E121" s="22"/>
    </row>
    <row r="122" spans="4:5" ht="15">
      <c r="D122" s="12"/>
      <c r="E122" s="22"/>
    </row>
    <row r="123" spans="4:5" ht="15">
      <c r="D123" s="12"/>
      <c r="E123" s="22"/>
    </row>
    <row r="124" spans="4:5" ht="15">
      <c r="D124" s="12"/>
      <c r="E124" s="22"/>
    </row>
    <row r="125" spans="4:5" ht="15">
      <c r="D125" s="12"/>
      <c r="E125" s="22"/>
    </row>
    <row r="126" spans="4:5" ht="15">
      <c r="D126" s="12"/>
      <c r="E126" s="22"/>
    </row>
    <row r="127" spans="4:5" ht="15">
      <c r="D127" s="12"/>
      <c r="E127" s="22"/>
    </row>
    <row r="128" spans="4:5" ht="15">
      <c r="D128" s="12"/>
      <c r="E128" s="22"/>
    </row>
    <row r="129" spans="4:5" ht="15">
      <c r="D129" s="12"/>
      <c r="E129" s="22"/>
    </row>
    <row r="130" spans="4:5" ht="15">
      <c r="D130" s="12"/>
      <c r="E130" s="22"/>
    </row>
  </sheetData>
  <sheetProtection/>
  <mergeCells count="16">
    <mergeCell ref="A14:F14"/>
    <mergeCell ref="A15:F15"/>
    <mergeCell ref="A21:A22"/>
    <mergeCell ref="B21:B22"/>
    <mergeCell ref="D21:D22"/>
    <mergeCell ref="E21:E22"/>
    <mergeCell ref="A16:F16"/>
    <mergeCell ref="A17:F17"/>
    <mergeCell ref="A8:B8"/>
    <mergeCell ref="E8:F8"/>
    <mergeCell ref="A9:B9"/>
    <mergeCell ref="D9:F9"/>
    <mergeCell ref="A10:B10"/>
    <mergeCell ref="D10:F10"/>
    <mergeCell ref="A11:B11"/>
    <mergeCell ref="A12:B12"/>
  </mergeCells>
  <printOptions/>
  <pageMargins left="1.1811023622047245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130"/>
  <sheetViews>
    <sheetView zoomScalePageLayoutView="0" workbookViewId="0" topLeftCell="A8">
      <selection activeCell="A12" sqref="A12:B12"/>
    </sheetView>
  </sheetViews>
  <sheetFormatPr defaultColWidth="9.140625" defaultRowHeight="15"/>
  <cols>
    <col min="1" max="1" width="5.8515625" style="4" customWidth="1"/>
    <col min="2" max="2" width="38.00390625" style="4" customWidth="1"/>
    <col min="3" max="3" width="17.7109375" style="4" hidden="1" customWidth="1"/>
    <col min="4" max="4" width="14.28125" style="4" customWidth="1"/>
    <col min="5" max="5" width="13.7109375" style="19" customWidth="1"/>
    <col min="6" max="6" width="10.140625" style="30" customWidth="1"/>
    <col min="7" max="7" width="10.57421875" style="31" customWidth="1"/>
    <col min="8" max="8" width="10.421875" style="31" customWidth="1"/>
    <col min="9" max="9" width="10.00390625" style="31" customWidth="1"/>
    <col min="10" max="10" width="9.8515625" style="31" customWidth="1"/>
    <col min="11" max="11" width="9.28125" style="31" customWidth="1"/>
    <col min="12" max="14" width="9.8515625" style="31" customWidth="1"/>
    <col min="15" max="23" width="9.8515625" style="31" hidden="1" customWidth="1"/>
    <col min="24" max="39" width="9.8515625" style="31" customWidth="1"/>
    <col min="40" max="40" width="11.421875" style="31" customWidth="1"/>
    <col min="41" max="41" width="11.00390625" style="31" customWidth="1"/>
    <col min="42" max="42" width="11.140625" style="31" customWidth="1"/>
    <col min="43" max="44" width="9.140625" style="31" customWidth="1"/>
    <col min="45" max="16384" width="9.140625" style="4" customWidth="1"/>
  </cols>
  <sheetData>
    <row r="1" spans="1:5" ht="15.75" hidden="1">
      <c r="A1" s="1" t="s">
        <v>0</v>
      </c>
      <c r="E1" s="18" t="s">
        <v>9</v>
      </c>
    </row>
    <row r="2" spans="1:5" ht="15.75" hidden="1">
      <c r="A2" s="1" t="s">
        <v>1</v>
      </c>
      <c r="E2" s="18" t="s">
        <v>11</v>
      </c>
    </row>
    <row r="3" spans="1:5" ht="15.75" hidden="1">
      <c r="A3" s="1" t="s">
        <v>2</v>
      </c>
      <c r="E3" s="18" t="s">
        <v>10</v>
      </c>
    </row>
    <row r="4" ht="15.75" hidden="1">
      <c r="A4" s="1" t="s">
        <v>3</v>
      </c>
    </row>
    <row r="5" ht="15" hidden="1"/>
    <row r="6" spans="1:5" ht="112.5" hidden="1">
      <c r="A6" s="2" t="s">
        <v>12</v>
      </c>
      <c r="B6" s="3"/>
      <c r="C6" s="3"/>
      <c r="D6" s="3"/>
      <c r="E6" s="20"/>
    </row>
    <row r="7" spans="1:5" ht="15" hidden="1">
      <c r="A7" s="3" t="s">
        <v>53</v>
      </c>
      <c r="B7" s="3"/>
      <c r="C7" s="3"/>
      <c r="D7" s="3"/>
      <c r="E7" s="21"/>
    </row>
    <row r="8" spans="1:6" ht="15.75" customHeight="1">
      <c r="A8" s="60" t="s">
        <v>0</v>
      </c>
      <c r="B8" s="61"/>
      <c r="C8" s="52"/>
      <c r="D8" s="53"/>
      <c r="E8" s="62" t="s">
        <v>9</v>
      </c>
      <c r="F8" s="63"/>
    </row>
    <row r="9" spans="1:6" ht="15">
      <c r="A9" s="61" t="s">
        <v>83</v>
      </c>
      <c r="B9" s="61"/>
      <c r="C9" s="52"/>
      <c r="D9" s="64" t="s">
        <v>114</v>
      </c>
      <c r="E9" s="63"/>
      <c r="F9" s="63"/>
    </row>
    <row r="10" spans="1:6" ht="15">
      <c r="A10" s="61" t="s">
        <v>84</v>
      </c>
      <c r="B10" s="61"/>
      <c r="C10" s="52"/>
      <c r="D10" s="64" t="s">
        <v>118</v>
      </c>
      <c r="E10" s="63"/>
      <c r="F10" s="63"/>
    </row>
    <row r="11" spans="1:5" ht="15">
      <c r="A11" s="61" t="s">
        <v>2</v>
      </c>
      <c r="B11" s="61"/>
      <c r="C11" s="52"/>
      <c r="D11" s="52"/>
      <c r="E11" s="21"/>
    </row>
    <row r="12" spans="1:5" ht="15" customHeight="1">
      <c r="A12" s="61" t="s">
        <v>140</v>
      </c>
      <c r="B12" s="61"/>
      <c r="C12" s="52"/>
      <c r="D12" s="52"/>
      <c r="E12" s="21"/>
    </row>
    <row r="13" spans="1:5" ht="15">
      <c r="A13" s="54"/>
      <c r="B13" s="54"/>
      <c r="C13" s="52"/>
      <c r="D13" s="52"/>
      <c r="E13" s="21"/>
    </row>
    <row r="14" spans="1:6" ht="15.75">
      <c r="A14" s="67" t="s">
        <v>86</v>
      </c>
      <c r="B14" s="67"/>
      <c r="C14" s="67"/>
      <c r="D14" s="67"/>
      <c r="E14" s="67"/>
      <c r="F14" s="67"/>
    </row>
    <row r="15" spans="1:6" ht="15.75">
      <c r="A15" s="67" t="s">
        <v>87</v>
      </c>
      <c r="B15" s="67"/>
      <c r="C15" s="67"/>
      <c r="D15" s="67"/>
      <c r="E15" s="67"/>
      <c r="F15" s="67"/>
    </row>
    <row r="16" spans="1:6" ht="15.75">
      <c r="A16" s="67" t="s">
        <v>88</v>
      </c>
      <c r="B16" s="67"/>
      <c r="C16" s="67"/>
      <c r="D16" s="67"/>
      <c r="E16" s="67"/>
      <c r="F16" s="67"/>
    </row>
    <row r="17" spans="1:6" ht="15">
      <c r="A17" s="80" t="s">
        <v>92</v>
      </c>
      <c r="B17" s="81"/>
      <c r="C17" s="81"/>
      <c r="D17" s="81"/>
      <c r="E17" s="81"/>
      <c r="F17" s="81"/>
    </row>
    <row r="18" spans="1:5" ht="15">
      <c r="A18" s="3"/>
      <c r="B18" s="3"/>
      <c r="C18" s="3"/>
      <c r="D18" s="3"/>
      <c r="E18" s="55"/>
    </row>
    <row r="19" spans="1:9" ht="28.5">
      <c r="A19" s="10" t="s">
        <v>47</v>
      </c>
      <c r="B19" s="3"/>
      <c r="C19" s="3"/>
      <c r="D19" s="3"/>
      <c r="E19" s="48"/>
      <c r="H19" s="51">
        <v>1462.8</v>
      </c>
      <c r="I19" s="31">
        <v>77549.72</v>
      </c>
    </row>
    <row r="20" ht="15">
      <c r="D20" s="16"/>
    </row>
    <row r="21" spans="1:42" ht="42" customHeight="1">
      <c r="A21" s="74" t="s">
        <v>8</v>
      </c>
      <c r="B21" s="74" t="s">
        <v>4</v>
      </c>
      <c r="C21" s="28" t="s">
        <v>5</v>
      </c>
      <c r="D21" s="75" t="s">
        <v>6</v>
      </c>
      <c r="E21" s="77" t="s">
        <v>7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3"/>
    </row>
    <row r="22" spans="1:42" ht="14.25" customHeight="1">
      <c r="A22" s="74"/>
      <c r="B22" s="74"/>
      <c r="C22" s="28"/>
      <c r="D22" s="76"/>
      <c r="E22" s="77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6"/>
    </row>
    <row r="23" spans="1:44" s="11" customFormat="1" ht="51">
      <c r="A23" s="23">
        <v>1</v>
      </c>
      <c r="B23" s="24" t="s">
        <v>13</v>
      </c>
      <c r="C23" s="25"/>
      <c r="D23" s="44">
        <f>D24+D25+D54+D55</f>
        <v>687836.6401271339</v>
      </c>
      <c r="E23" s="50">
        <f>E24+E25+E54+E55</f>
        <v>39.18493301243812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6"/>
      <c r="AQ23" s="38"/>
      <c r="AR23" s="38"/>
    </row>
    <row r="24" spans="1:44" ht="51.75" customHeight="1">
      <c r="A24" s="8">
        <v>2</v>
      </c>
      <c r="B24" s="5" t="s">
        <v>45</v>
      </c>
      <c r="C24" s="13" t="s">
        <v>54</v>
      </c>
      <c r="D24" s="45">
        <f>1905742/77549.72*1462.8</f>
        <v>35947.51080468117</v>
      </c>
      <c r="E24" s="26">
        <f>D24/H19/12</f>
        <v>2.0478711378111143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6"/>
      <c r="AQ24" s="40"/>
      <c r="AR24" s="40"/>
    </row>
    <row r="25" spans="1:44" ht="25.5">
      <c r="A25" s="8">
        <v>3</v>
      </c>
      <c r="B25" s="5" t="s">
        <v>29</v>
      </c>
      <c r="C25" s="13"/>
      <c r="D25" s="45">
        <f>D26+D27+D28+D29+D30+D31+D32+D33+D34+D35+D36+D37+D38+D39+D40+D41+D42+D43+D44+D45+D46+D47+D48+D49+D50+D51+D52+D53+D54+D55+D56</f>
        <v>651889.1293224527</v>
      </c>
      <c r="E25" s="26">
        <f>SUM(E26:E56)</f>
        <v>37.13706187462701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0"/>
      <c r="AR25" s="40"/>
    </row>
    <row r="26" spans="1:44" ht="25.5">
      <c r="A26" s="9">
        <v>3.1</v>
      </c>
      <c r="B26" s="5" t="s">
        <v>14</v>
      </c>
      <c r="C26" s="13"/>
      <c r="D26" s="46"/>
      <c r="E26" s="27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6"/>
      <c r="AQ26" s="40"/>
      <c r="AR26" s="40"/>
    </row>
    <row r="27" spans="1:44" ht="24">
      <c r="A27" s="6">
        <v>3.2</v>
      </c>
      <c r="B27" s="5" t="s">
        <v>15</v>
      </c>
      <c r="C27" s="13" t="s">
        <v>57</v>
      </c>
      <c r="D27" s="46">
        <f>353626/77549.72*1462.8</f>
        <v>6670.3543584683475</v>
      </c>
      <c r="E27" s="27">
        <f>D27/H19/12</f>
        <v>0.3799992228641616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36"/>
      <c r="AQ27" s="40"/>
      <c r="AR27" s="40"/>
    </row>
    <row r="28" spans="1:44" ht="25.5">
      <c r="A28" s="9">
        <v>3.3</v>
      </c>
      <c r="B28" s="5" t="s">
        <v>16</v>
      </c>
      <c r="C28" s="13" t="s">
        <v>59</v>
      </c>
      <c r="D28" s="46">
        <f>158201/77549.72*1462.8</f>
        <v>2984.1039116582233</v>
      </c>
      <c r="E28" s="27">
        <f>D28/H19/12</f>
        <v>0.1699995392203436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36"/>
      <c r="AQ28" s="40"/>
      <c r="AR28" s="40"/>
    </row>
    <row r="29" spans="1:44" ht="34.5" customHeight="1">
      <c r="A29" s="6" t="s">
        <v>68</v>
      </c>
      <c r="B29" s="5" t="s">
        <v>17</v>
      </c>
      <c r="C29" s="13" t="s">
        <v>56</v>
      </c>
      <c r="D29" s="46"/>
      <c r="E29" s="27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6"/>
      <c r="AQ29" s="40"/>
      <c r="AR29" s="40"/>
    </row>
    <row r="30" spans="1:44" ht="34.5" customHeight="1">
      <c r="A30" s="6" t="s">
        <v>69</v>
      </c>
      <c r="B30" s="5" t="s">
        <v>70</v>
      </c>
      <c r="C30" s="13"/>
      <c r="D30" s="46"/>
      <c r="E30" s="27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6"/>
      <c r="AQ30" s="40"/>
      <c r="AR30" s="40"/>
    </row>
    <row r="31" spans="1:44" ht="41.25" customHeight="1">
      <c r="A31" s="6" t="s">
        <v>71</v>
      </c>
      <c r="B31" s="5" t="s">
        <v>72</v>
      </c>
      <c r="C31" s="13"/>
      <c r="D31" s="46"/>
      <c r="E31" s="27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6"/>
      <c r="AQ31" s="40"/>
      <c r="AR31" s="40"/>
    </row>
    <row r="32" spans="1:44" ht="25.5">
      <c r="A32" s="9">
        <v>3.7</v>
      </c>
      <c r="B32" s="5" t="s">
        <v>18</v>
      </c>
      <c r="C32" s="13" t="s">
        <v>57</v>
      </c>
      <c r="D32" s="46">
        <f>2345097/77549.72*1462.8</f>
        <v>44234.94877350943</v>
      </c>
      <c r="E32" s="27">
        <f>D32/H19/12</f>
        <v>2.5199929799875487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36"/>
      <c r="AQ32" s="40"/>
      <c r="AR32" s="40"/>
    </row>
    <row r="33" spans="1:44" ht="25.5">
      <c r="A33" s="6">
        <v>3.8</v>
      </c>
      <c r="B33" s="5" t="s">
        <v>64</v>
      </c>
      <c r="C33" s="13" t="s">
        <v>57</v>
      </c>
      <c r="D33" s="46">
        <f>651416/77549.72*1462.8</f>
        <v>12287.488914208843</v>
      </c>
      <c r="E33" s="27">
        <f>D33/H19/12</f>
        <v>0.6999982290931116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36"/>
      <c r="AQ33" s="40"/>
      <c r="AR33" s="40"/>
    </row>
    <row r="34" spans="1:44" ht="25.5">
      <c r="A34" s="9">
        <v>3.9</v>
      </c>
      <c r="B34" s="5" t="s">
        <v>19</v>
      </c>
      <c r="C34" s="13" t="s">
        <v>57</v>
      </c>
      <c r="D34" s="46">
        <f>697946/77549.72*1462.8</f>
        <v>13165.17208314872</v>
      </c>
      <c r="E34" s="27">
        <f>D34/H19/12</f>
        <v>0.7499984096224547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36"/>
      <c r="AQ34" s="40"/>
      <c r="AR34" s="40"/>
    </row>
    <row r="35" spans="1:44" ht="25.5">
      <c r="A35" s="6" t="s">
        <v>30</v>
      </c>
      <c r="B35" s="5" t="s">
        <v>65</v>
      </c>
      <c r="C35" s="13" t="s">
        <v>57</v>
      </c>
      <c r="D35" s="46"/>
      <c r="E35" s="27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36"/>
      <c r="AQ35" s="40"/>
      <c r="AR35" s="40"/>
    </row>
    <row r="36" spans="1:44" ht="25.5">
      <c r="A36" s="6" t="s">
        <v>31</v>
      </c>
      <c r="B36" s="5" t="s">
        <v>66</v>
      </c>
      <c r="C36" s="13"/>
      <c r="D36" s="46"/>
      <c r="E36" s="27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36"/>
      <c r="AQ36" s="40"/>
      <c r="AR36" s="40"/>
    </row>
    <row r="37" spans="1:44" ht="40.5" customHeight="1">
      <c r="A37" s="6" t="s">
        <v>32</v>
      </c>
      <c r="B37" s="5" t="s">
        <v>20</v>
      </c>
      <c r="C37" s="13"/>
      <c r="D37" s="46"/>
      <c r="E37" s="27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36"/>
      <c r="AQ37" s="40"/>
      <c r="AR37" s="40"/>
    </row>
    <row r="38" spans="1:44" ht="51">
      <c r="A38" s="6" t="s">
        <v>33</v>
      </c>
      <c r="B38" s="5" t="s">
        <v>21</v>
      </c>
      <c r="C38" s="13" t="s">
        <v>58</v>
      </c>
      <c r="D38" s="46">
        <f>2373015/77549.72*1462.8</f>
        <v>44761.558674873355</v>
      </c>
      <c r="E38" s="27">
        <f>D38/H19/12</f>
        <v>2.5499930883051545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36"/>
      <c r="AQ38" s="40"/>
      <c r="AR38" s="40"/>
    </row>
    <row r="39" spans="1:44" ht="33" customHeight="1">
      <c r="A39" s="6" t="s">
        <v>34</v>
      </c>
      <c r="B39" s="5" t="s">
        <v>73</v>
      </c>
      <c r="C39" s="13"/>
      <c r="D39" s="46"/>
      <c r="E39" s="27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36"/>
      <c r="AQ39" s="40"/>
      <c r="AR39" s="40"/>
    </row>
    <row r="40" spans="1:44" ht="41.25" customHeight="1">
      <c r="A40" s="6" t="s">
        <v>35</v>
      </c>
      <c r="B40" s="5" t="s">
        <v>22</v>
      </c>
      <c r="C40" s="13"/>
      <c r="D40" s="46"/>
      <c r="E40" s="27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36"/>
      <c r="AQ40" s="40"/>
      <c r="AR40" s="40"/>
    </row>
    <row r="41" spans="1:44" ht="41.25" customHeight="1">
      <c r="A41" s="6" t="s">
        <v>36</v>
      </c>
      <c r="B41" s="5" t="s">
        <v>74</v>
      </c>
      <c r="C41" s="13"/>
      <c r="D41" s="46"/>
      <c r="E41" s="27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36"/>
      <c r="AQ41" s="40"/>
      <c r="AR41" s="40"/>
    </row>
    <row r="42" spans="1:44" ht="40.5" customHeight="1">
      <c r="A42" s="6" t="s">
        <v>37</v>
      </c>
      <c r="B42" s="5" t="s">
        <v>75</v>
      </c>
      <c r="C42" s="13" t="s">
        <v>54</v>
      </c>
      <c r="D42" s="47">
        <f>2696000/77549.72*1462.8</f>
        <v>50853.939898171135</v>
      </c>
      <c r="E42" s="27">
        <f>D42/H19/12</f>
        <v>2.8970661230842185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36"/>
      <c r="AQ42" s="40"/>
      <c r="AR42" s="40"/>
    </row>
    <row r="43" spans="1:44" ht="51">
      <c r="A43" s="6" t="s">
        <v>38</v>
      </c>
      <c r="B43" s="5" t="s">
        <v>67</v>
      </c>
      <c r="C43" s="13"/>
      <c r="D43" s="46"/>
      <c r="E43" s="27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36"/>
      <c r="AQ43" s="40"/>
      <c r="AR43" s="40"/>
    </row>
    <row r="44" spans="1:44" ht="40.5" customHeight="1">
      <c r="A44" s="6" t="s">
        <v>39</v>
      </c>
      <c r="B44" s="5" t="s">
        <v>76</v>
      </c>
      <c r="C44" s="13"/>
      <c r="D44" s="46"/>
      <c r="E44" s="27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36"/>
      <c r="AQ44" s="40"/>
      <c r="AR44" s="40"/>
    </row>
    <row r="45" spans="1:44" ht="39" customHeight="1">
      <c r="A45" s="6" t="s">
        <v>40</v>
      </c>
      <c r="B45" s="5" t="s">
        <v>77</v>
      </c>
      <c r="C45" s="13" t="s">
        <v>54</v>
      </c>
      <c r="D45" s="29">
        <f>1448000/77549.72*1462.8</f>
        <v>27313.243684180932</v>
      </c>
      <c r="E45" s="27">
        <f>D45/H19/12</f>
        <v>1.5559910037930074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36"/>
      <c r="AQ45" s="40"/>
      <c r="AR45" s="40"/>
    </row>
    <row r="46" spans="1:44" ht="39" customHeight="1">
      <c r="A46" s="6" t="s">
        <v>41</v>
      </c>
      <c r="B46" s="5" t="s">
        <v>78</v>
      </c>
      <c r="C46" s="13"/>
      <c r="D46" s="29"/>
      <c r="E46" s="27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36"/>
      <c r="AQ46" s="40"/>
      <c r="AR46" s="40"/>
    </row>
    <row r="47" spans="1:44" ht="25.5">
      <c r="A47" s="6" t="s">
        <v>42</v>
      </c>
      <c r="B47" s="5" t="s">
        <v>62</v>
      </c>
      <c r="C47" s="13" t="s">
        <v>54</v>
      </c>
      <c r="D47" s="46"/>
      <c r="E47" s="27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36"/>
      <c r="AQ47" s="40"/>
      <c r="AR47" s="40"/>
    </row>
    <row r="48" spans="1:44" ht="25.5">
      <c r="A48" s="6" t="s">
        <v>43</v>
      </c>
      <c r="B48" s="7" t="s">
        <v>63</v>
      </c>
      <c r="C48" s="13" t="s">
        <v>54</v>
      </c>
      <c r="D48" s="46">
        <f>13972201/77549.72*1462.8</f>
        <v>263553.9576777324</v>
      </c>
      <c r="E48" s="27">
        <f>D48/H19/12</f>
        <v>15.014239681759435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36"/>
      <c r="AQ48" s="40"/>
      <c r="AR48" s="40"/>
    </row>
    <row r="49" spans="1:44" ht="25.5">
      <c r="A49" s="6" t="s">
        <v>46</v>
      </c>
      <c r="B49" s="5" t="s">
        <v>23</v>
      </c>
      <c r="C49" s="13" t="s">
        <v>60</v>
      </c>
      <c r="D49" s="46">
        <f>465297/77549.72*1462.8</f>
        <v>8776.775101186697</v>
      </c>
      <c r="E49" s="27">
        <f>D49/H19/12</f>
        <v>0.49999858155516225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36"/>
      <c r="AQ49" s="40"/>
      <c r="AR49" s="40"/>
    </row>
    <row r="50" spans="1:44" ht="25.5">
      <c r="A50" s="6" t="s">
        <v>79</v>
      </c>
      <c r="B50" s="5" t="s">
        <v>24</v>
      </c>
      <c r="C50" s="13" t="s">
        <v>61</v>
      </c>
      <c r="D50" s="46">
        <f>5667319/77549.72*1462.8</f>
        <v>106901.14978106949</v>
      </c>
      <c r="E50" s="27">
        <f>D50/H19/12</f>
        <v>6.089984378194187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36"/>
      <c r="AQ50" s="40"/>
      <c r="AR50" s="40"/>
    </row>
    <row r="51" spans="1:44" ht="38.25">
      <c r="A51" s="6" t="s">
        <v>80</v>
      </c>
      <c r="B51" s="5" t="s">
        <v>25</v>
      </c>
      <c r="C51" s="17" t="s">
        <v>55</v>
      </c>
      <c r="D51" s="29">
        <f>2308000/77549.72*1462.8</f>
        <v>43535.1978060011</v>
      </c>
      <c r="E51" s="27">
        <f>D51/H19/12</f>
        <v>2.4801293071507327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36"/>
      <c r="AQ51" s="40"/>
      <c r="AR51" s="40"/>
    </row>
    <row r="52" spans="1:44" ht="25.5">
      <c r="A52" s="6" t="s">
        <v>81</v>
      </c>
      <c r="B52" s="5" t="s">
        <v>26</v>
      </c>
      <c r="C52" s="13" t="s">
        <v>54</v>
      </c>
      <c r="D52" s="29">
        <f>9000/77549.72*1462.8</f>
        <v>169.76463615858316</v>
      </c>
      <c r="E52" s="27">
        <f>D52/H19/12</f>
        <v>0.009671214802580848</v>
      </c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36"/>
      <c r="AQ52" s="40"/>
      <c r="AR52" s="40"/>
    </row>
    <row r="53" spans="1:44" ht="38.25">
      <c r="A53" s="6" t="s">
        <v>82</v>
      </c>
      <c r="B53" s="5" t="s">
        <v>27</v>
      </c>
      <c r="C53" s="14" t="s">
        <v>54</v>
      </c>
      <c r="D53" s="29">
        <f>1414507/77549.72*1462.8</f>
        <v>26681.474022085444</v>
      </c>
      <c r="E53" s="27">
        <f>D53/H19/12</f>
        <v>1.5200001151949143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36"/>
      <c r="AQ53" s="40"/>
      <c r="AR53" s="40"/>
    </row>
    <row r="54" spans="1:44" ht="25.5">
      <c r="A54" s="6" t="s">
        <v>44</v>
      </c>
      <c r="B54" s="5" t="s">
        <v>28</v>
      </c>
      <c r="C54" s="15" t="s">
        <v>54</v>
      </c>
      <c r="D54" s="46"/>
      <c r="E54" s="27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36"/>
      <c r="AQ54" s="40"/>
      <c r="AR54" s="40"/>
    </row>
    <row r="55" spans="1:44" ht="38.25">
      <c r="A55" s="6" t="s">
        <v>48</v>
      </c>
      <c r="B55" s="5" t="s">
        <v>49</v>
      </c>
      <c r="C55" s="13" t="s">
        <v>52</v>
      </c>
      <c r="D55" s="46"/>
      <c r="E55" s="27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36"/>
      <c r="AQ55" s="40"/>
      <c r="AR55" s="40"/>
    </row>
    <row r="56" spans="1:44" ht="38.25">
      <c r="A56" s="6" t="s">
        <v>50</v>
      </c>
      <c r="B56" s="5" t="s">
        <v>51</v>
      </c>
      <c r="C56" s="13" t="s">
        <v>52</v>
      </c>
      <c r="D56" s="46"/>
      <c r="E56" s="27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36"/>
      <c r="AQ56" s="40"/>
      <c r="AR56" s="40"/>
    </row>
    <row r="57" spans="4:5" ht="15">
      <c r="D57" s="12"/>
      <c r="E57" s="22"/>
    </row>
    <row r="58" spans="4:5" ht="15">
      <c r="D58" s="12"/>
      <c r="E58" s="22"/>
    </row>
    <row r="59" spans="4:5" ht="15">
      <c r="D59" s="12"/>
      <c r="E59" s="22"/>
    </row>
    <row r="60" spans="4:5" ht="15">
      <c r="D60" s="12"/>
      <c r="E60" s="22"/>
    </row>
    <row r="61" spans="4:5" ht="15">
      <c r="D61" s="12"/>
      <c r="E61" s="22"/>
    </row>
    <row r="62" spans="4:5" ht="15">
      <c r="D62" s="12"/>
      <c r="E62" s="22"/>
    </row>
    <row r="63" spans="4:5" ht="15">
      <c r="D63" s="12"/>
      <c r="E63" s="22"/>
    </row>
    <row r="64" spans="4:5" ht="15">
      <c r="D64" s="12"/>
      <c r="E64" s="22"/>
    </row>
    <row r="65" spans="4:5" ht="15">
      <c r="D65" s="12"/>
      <c r="E65" s="22"/>
    </row>
    <row r="66" spans="4:5" ht="15">
      <c r="D66" s="12"/>
      <c r="E66" s="22"/>
    </row>
    <row r="67" spans="4:5" ht="15">
      <c r="D67" s="12"/>
      <c r="E67" s="22"/>
    </row>
    <row r="68" spans="4:5" ht="15">
      <c r="D68" s="12"/>
      <c r="E68" s="22"/>
    </row>
    <row r="69" spans="4:5" ht="15">
      <c r="D69" s="12"/>
      <c r="E69" s="22"/>
    </row>
    <row r="70" spans="4:5" ht="15">
      <c r="D70" s="12"/>
      <c r="E70" s="22"/>
    </row>
    <row r="71" spans="4:5" ht="15">
      <c r="D71" s="12"/>
      <c r="E71" s="22"/>
    </row>
    <row r="72" spans="4:5" ht="15">
      <c r="D72" s="12"/>
      <c r="E72" s="22"/>
    </row>
    <row r="73" spans="4:5" ht="15">
      <c r="D73" s="12"/>
      <c r="E73" s="22"/>
    </row>
    <row r="74" spans="4:5" ht="15">
      <c r="D74" s="12"/>
      <c r="E74" s="22"/>
    </row>
    <row r="75" spans="4:5" ht="15">
      <c r="D75" s="12"/>
      <c r="E75" s="22"/>
    </row>
    <row r="76" spans="4:5" ht="15">
      <c r="D76" s="12"/>
      <c r="E76" s="22"/>
    </row>
    <row r="77" spans="4:5" ht="15">
      <c r="D77" s="12"/>
      <c r="E77" s="22"/>
    </row>
    <row r="78" spans="4:5" ht="15">
      <c r="D78" s="12"/>
      <c r="E78" s="22"/>
    </row>
    <row r="79" spans="4:5" ht="15">
      <c r="D79" s="12"/>
      <c r="E79" s="22"/>
    </row>
    <row r="80" spans="4:5" ht="15">
      <c r="D80" s="12"/>
      <c r="E80" s="22"/>
    </row>
    <row r="81" spans="4:5" ht="15">
      <c r="D81" s="12"/>
      <c r="E81" s="22"/>
    </row>
    <row r="82" spans="4:5" ht="15">
      <c r="D82" s="12"/>
      <c r="E82" s="22"/>
    </row>
    <row r="83" spans="4:5" ht="15">
      <c r="D83" s="12"/>
      <c r="E83" s="22"/>
    </row>
    <row r="84" spans="4:5" ht="15">
      <c r="D84" s="12"/>
      <c r="E84" s="22"/>
    </row>
    <row r="85" spans="4:5" ht="15">
      <c r="D85" s="12"/>
      <c r="E85" s="22"/>
    </row>
    <row r="86" spans="4:5" ht="15">
      <c r="D86" s="12"/>
      <c r="E86" s="22"/>
    </row>
    <row r="87" spans="4:5" ht="15">
      <c r="D87" s="12"/>
      <c r="E87" s="22"/>
    </row>
    <row r="88" spans="4:5" ht="15">
      <c r="D88" s="12"/>
      <c r="E88" s="22"/>
    </row>
    <row r="89" spans="4:5" ht="15">
      <c r="D89" s="12"/>
      <c r="E89" s="22"/>
    </row>
    <row r="90" spans="4:5" ht="15">
      <c r="D90" s="12"/>
      <c r="E90" s="22"/>
    </row>
    <row r="91" spans="4:5" ht="15">
      <c r="D91" s="12"/>
      <c r="E91" s="22"/>
    </row>
    <row r="92" spans="4:5" ht="15">
      <c r="D92" s="12"/>
      <c r="E92" s="22"/>
    </row>
    <row r="93" spans="4:5" ht="15">
      <c r="D93" s="12"/>
      <c r="E93" s="22"/>
    </row>
    <row r="94" spans="4:5" ht="15">
      <c r="D94" s="12"/>
      <c r="E94" s="22"/>
    </row>
    <row r="95" spans="4:5" ht="15">
      <c r="D95" s="12"/>
      <c r="E95" s="22"/>
    </row>
    <row r="96" spans="4:5" ht="15">
      <c r="D96" s="12"/>
      <c r="E96" s="22"/>
    </row>
    <row r="97" spans="4:5" ht="15">
      <c r="D97" s="12"/>
      <c r="E97" s="22"/>
    </row>
    <row r="98" spans="4:5" ht="15">
      <c r="D98" s="12"/>
      <c r="E98" s="22"/>
    </row>
    <row r="99" spans="4:5" ht="15">
      <c r="D99" s="12"/>
      <c r="E99" s="22"/>
    </row>
    <row r="100" spans="4:5" ht="15">
      <c r="D100" s="12"/>
      <c r="E100" s="22"/>
    </row>
    <row r="101" spans="4:5" ht="15">
      <c r="D101" s="12"/>
      <c r="E101" s="22"/>
    </row>
    <row r="102" spans="4:5" ht="15">
      <c r="D102" s="12"/>
      <c r="E102" s="22"/>
    </row>
    <row r="103" spans="4:5" ht="15">
      <c r="D103" s="12"/>
      <c r="E103" s="22"/>
    </row>
    <row r="104" spans="4:5" ht="15">
      <c r="D104" s="12"/>
      <c r="E104" s="22"/>
    </row>
    <row r="105" spans="4:5" ht="15">
      <c r="D105" s="12"/>
      <c r="E105" s="22"/>
    </row>
    <row r="106" spans="4:5" ht="15">
      <c r="D106" s="12"/>
      <c r="E106" s="22"/>
    </row>
    <row r="107" spans="4:5" ht="15">
      <c r="D107" s="12"/>
      <c r="E107" s="22"/>
    </row>
    <row r="108" spans="4:5" ht="15">
      <c r="D108" s="12"/>
      <c r="E108" s="22"/>
    </row>
    <row r="109" spans="4:5" ht="15">
      <c r="D109" s="12"/>
      <c r="E109" s="22"/>
    </row>
    <row r="110" spans="4:5" ht="15">
      <c r="D110" s="12"/>
      <c r="E110" s="22"/>
    </row>
    <row r="111" spans="4:5" ht="15">
      <c r="D111" s="12"/>
      <c r="E111" s="22"/>
    </row>
    <row r="112" spans="4:5" ht="15">
      <c r="D112" s="12"/>
      <c r="E112" s="22"/>
    </row>
    <row r="113" spans="4:5" ht="15">
      <c r="D113" s="12"/>
      <c r="E113" s="22"/>
    </row>
    <row r="114" spans="4:5" ht="15">
      <c r="D114" s="12"/>
      <c r="E114" s="22"/>
    </row>
    <row r="115" spans="4:5" ht="15">
      <c r="D115" s="12"/>
      <c r="E115" s="22"/>
    </row>
    <row r="116" spans="4:5" ht="15">
      <c r="D116" s="12"/>
      <c r="E116" s="22"/>
    </row>
    <row r="117" spans="4:5" ht="15">
      <c r="D117" s="12"/>
      <c r="E117" s="22"/>
    </row>
    <row r="118" spans="4:5" ht="15">
      <c r="D118" s="12"/>
      <c r="E118" s="22"/>
    </row>
    <row r="119" spans="4:5" ht="15">
      <c r="D119" s="12"/>
      <c r="E119" s="22"/>
    </row>
    <row r="120" spans="4:5" ht="15">
      <c r="D120" s="12"/>
      <c r="E120" s="22"/>
    </row>
    <row r="121" spans="4:5" ht="15">
      <c r="D121" s="12"/>
      <c r="E121" s="22"/>
    </row>
    <row r="122" spans="4:5" ht="15">
      <c r="D122" s="12"/>
      <c r="E122" s="22"/>
    </row>
    <row r="123" spans="4:5" ht="15">
      <c r="D123" s="12"/>
      <c r="E123" s="22"/>
    </row>
    <row r="124" spans="4:5" ht="15">
      <c r="D124" s="12"/>
      <c r="E124" s="22"/>
    </row>
    <row r="125" spans="4:5" ht="15">
      <c r="D125" s="12"/>
      <c r="E125" s="22"/>
    </row>
    <row r="126" spans="4:5" ht="15">
      <c r="D126" s="12"/>
      <c r="E126" s="22"/>
    </row>
    <row r="127" spans="4:5" ht="15">
      <c r="D127" s="12"/>
      <c r="E127" s="22"/>
    </row>
    <row r="128" spans="4:5" ht="15">
      <c r="D128" s="12"/>
      <c r="E128" s="22"/>
    </row>
    <row r="129" spans="4:5" ht="15">
      <c r="D129" s="12"/>
      <c r="E129" s="22"/>
    </row>
    <row r="130" spans="4:5" ht="15">
      <c r="D130" s="12"/>
      <c r="E130" s="22"/>
    </row>
  </sheetData>
  <sheetProtection/>
  <mergeCells count="16">
    <mergeCell ref="A14:F14"/>
    <mergeCell ref="A15:F15"/>
    <mergeCell ref="A21:A22"/>
    <mergeCell ref="B21:B22"/>
    <mergeCell ref="D21:D22"/>
    <mergeCell ref="E21:E22"/>
    <mergeCell ref="A16:F16"/>
    <mergeCell ref="A17:F17"/>
    <mergeCell ref="A8:B8"/>
    <mergeCell ref="E8:F8"/>
    <mergeCell ref="A9:B9"/>
    <mergeCell ref="D9:F9"/>
    <mergeCell ref="A10:B10"/>
    <mergeCell ref="D10:F10"/>
    <mergeCell ref="A11:B11"/>
    <mergeCell ref="A12:B12"/>
  </mergeCells>
  <printOptions/>
  <pageMargins left="1.1811023622047245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130"/>
  <sheetViews>
    <sheetView zoomScalePageLayoutView="0" workbookViewId="0" topLeftCell="A8">
      <selection activeCell="A12" sqref="A12:B12"/>
    </sheetView>
  </sheetViews>
  <sheetFormatPr defaultColWidth="9.140625" defaultRowHeight="15"/>
  <cols>
    <col min="1" max="1" width="5.8515625" style="4" customWidth="1"/>
    <col min="2" max="2" width="38.00390625" style="4" customWidth="1"/>
    <col min="3" max="3" width="17.7109375" style="4" hidden="1" customWidth="1"/>
    <col min="4" max="4" width="14.28125" style="4" customWidth="1"/>
    <col min="5" max="5" width="13.7109375" style="19" customWidth="1"/>
    <col min="6" max="6" width="10.140625" style="30" customWidth="1"/>
    <col min="7" max="7" width="10.57421875" style="31" customWidth="1"/>
    <col min="8" max="8" width="10.421875" style="31" customWidth="1"/>
    <col min="9" max="9" width="10.00390625" style="31" customWidth="1"/>
    <col min="10" max="10" width="9.8515625" style="31" customWidth="1"/>
    <col min="11" max="11" width="9.28125" style="31" customWidth="1"/>
    <col min="12" max="14" width="9.8515625" style="31" customWidth="1"/>
    <col min="15" max="23" width="9.8515625" style="31" hidden="1" customWidth="1"/>
    <col min="24" max="39" width="9.8515625" style="31" customWidth="1"/>
    <col min="40" max="40" width="11.421875" style="31" customWidth="1"/>
    <col min="41" max="41" width="11.00390625" style="31" customWidth="1"/>
    <col min="42" max="42" width="11.140625" style="31" customWidth="1"/>
    <col min="43" max="44" width="9.140625" style="31" customWidth="1"/>
    <col min="45" max="16384" width="9.140625" style="4" customWidth="1"/>
  </cols>
  <sheetData>
    <row r="1" spans="1:5" ht="15.75" hidden="1">
      <c r="A1" s="1" t="s">
        <v>0</v>
      </c>
      <c r="E1" s="18" t="s">
        <v>9</v>
      </c>
    </row>
    <row r="2" spans="1:5" ht="15.75" hidden="1">
      <c r="A2" s="1" t="s">
        <v>1</v>
      </c>
      <c r="E2" s="18" t="s">
        <v>11</v>
      </c>
    </row>
    <row r="3" spans="1:5" ht="15.75" hidden="1">
      <c r="A3" s="1" t="s">
        <v>2</v>
      </c>
      <c r="E3" s="18" t="s">
        <v>10</v>
      </c>
    </row>
    <row r="4" ht="15.75" hidden="1">
      <c r="A4" s="1" t="s">
        <v>3</v>
      </c>
    </row>
    <row r="5" ht="15" hidden="1"/>
    <row r="6" spans="1:5" ht="112.5" hidden="1">
      <c r="A6" s="2" t="s">
        <v>12</v>
      </c>
      <c r="B6" s="3"/>
      <c r="C6" s="3"/>
      <c r="D6" s="3"/>
      <c r="E6" s="20"/>
    </row>
    <row r="7" spans="1:5" ht="15" hidden="1">
      <c r="A7" s="3" t="s">
        <v>53</v>
      </c>
      <c r="B7" s="3"/>
      <c r="C7" s="3"/>
      <c r="D7" s="3"/>
      <c r="E7" s="21"/>
    </row>
    <row r="8" spans="1:6" ht="15.75" customHeight="1">
      <c r="A8" s="60" t="s">
        <v>0</v>
      </c>
      <c r="B8" s="61"/>
      <c r="C8" s="52"/>
      <c r="D8" s="53"/>
      <c r="E8" s="62" t="s">
        <v>9</v>
      </c>
      <c r="F8" s="63"/>
    </row>
    <row r="9" spans="1:6" ht="15">
      <c r="A9" s="61" t="s">
        <v>83</v>
      </c>
      <c r="B9" s="61"/>
      <c r="C9" s="52"/>
      <c r="D9" s="64" t="s">
        <v>114</v>
      </c>
      <c r="E9" s="63"/>
      <c r="F9" s="63"/>
    </row>
    <row r="10" spans="1:6" ht="15">
      <c r="A10" s="61" t="s">
        <v>84</v>
      </c>
      <c r="B10" s="61"/>
      <c r="C10" s="52"/>
      <c r="D10" s="64" t="s">
        <v>118</v>
      </c>
      <c r="E10" s="63"/>
      <c r="F10" s="63"/>
    </row>
    <row r="11" spans="1:5" ht="15">
      <c r="A11" s="61" t="s">
        <v>2</v>
      </c>
      <c r="B11" s="61"/>
      <c r="C11" s="52"/>
      <c r="D11" s="52"/>
      <c r="E11" s="21"/>
    </row>
    <row r="12" spans="1:5" ht="15" customHeight="1">
      <c r="A12" s="61" t="s">
        <v>141</v>
      </c>
      <c r="B12" s="61"/>
      <c r="C12" s="52"/>
      <c r="D12" s="52"/>
      <c r="E12" s="21"/>
    </row>
    <row r="13" spans="1:5" ht="15">
      <c r="A13" s="54"/>
      <c r="B13" s="54"/>
      <c r="C13" s="52"/>
      <c r="D13" s="52"/>
      <c r="E13" s="21"/>
    </row>
    <row r="14" spans="1:6" ht="15.75">
      <c r="A14" s="67" t="s">
        <v>86</v>
      </c>
      <c r="B14" s="67"/>
      <c r="C14" s="67"/>
      <c r="D14" s="67"/>
      <c r="E14" s="67"/>
      <c r="F14" s="67"/>
    </row>
    <row r="15" spans="1:6" ht="15.75">
      <c r="A15" s="67" t="s">
        <v>87</v>
      </c>
      <c r="B15" s="67"/>
      <c r="C15" s="67"/>
      <c r="D15" s="67"/>
      <c r="E15" s="67"/>
      <c r="F15" s="67"/>
    </row>
    <row r="16" spans="1:6" ht="15.75">
      <c r="A16" s="67" t="s">
        <v>88</v>
      </c>
      <c r="B16" s="67"/>
      <c r="C16" s="67"/>
      <c r="D16" s="67"/>
      <c r="E16" s="67"/>
      <c r="F16" s="67"/>
    </row>
    <row r="17" spans="1:6" ht="15">
      <c r="A17" s="80" t="s">
        <v>93</v>
      </c>
      <c r="B17" s="81"/>
      <c r="C17" s="81"/>
      <c r="D17" s="81"/>
      <c r="E17" s="81"/>
      <c r="F17" s="81"/>
    </row>
    <row r="18" spans="1:5" ht="15">
      <c r="A18" s="3"/>
      <c r="B18" s="3"/>
      <c r="C18" s="3"/>
      <c r="D18" s="3"/>
      <c r="E18" s="55"/>
    </row>
    <row r="19" spans="1:9" ht="28.5">
      <c r="A19" s="10" t="s">
        <v>47</v>
      </c>
      <c r="B19" s="3"/>
      <c r="C19" s="3"/>
      <c r="D19" s="3"/>
      <c r="E19" s="48"/>
      <c r="H19" s="51">
        <v>3799.73</v>
      </c>
      <c r="I19" s="31">
        <v>77549.72</v>
      </c>
    </row>
    <row r="20" ht="15">
      <c r="D20" s="16"/>
    </row>
    <row r="21" spans="1:42" ht="42" customHeight="1">
      <c r="A21" s="74" t="s">
        <v>8</v>
      </c>
      <c r="B21" s="74" t="s">
        <v>4</v>
      </c>
      <c r="C21" s="28" t="s">
        <v>5</v>
      </c>
      <c r="D21" s="75" t="s">
        <v>6</v>
      </c>
      <c r="E21" s="77" t="s">
        <v>7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3"/>
    </row>
    <row r="22" spans="1:42" ht="14.25" customHeight="1">
      <c r="A22" s="74"/>
      <c r="B22" s="74"/>
      <c r="C22" s="28"/>
      <c r="D22" s="76"/>
      <c r="E22" s="77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6"/>
    </row>
    <row r="23" spans="1:44" s="11" customFormat="1" ht="51">
      <c r="A23" s="23">
        <v>1</v>
      </c>
      <c r="B23" s="24" t="s">
        <v>13</v>
      </c>
      <c r="C23" s="25"/>
      <c r="D23" s="44">
        <f>D24+D25+D54+D55</f>
        <v>1786705.986184218</v>
      </c>
      <c r="E23" s="50">
        <f>E24+E25+E54+E55</f>
        <v>39.18493301243812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6"/>
      <c r="AQ23" s="38"/>
      <c r="AR23" s="38"/>
    </row>
    <row r="24" spans="1:44" ht="51.75" customHeight="1">
      <c r="A24" s="8">
        <v>2</v>
      </c>
      <c r="B24" s="5" t="s">
        <v>45</v>
      </c>
      <c r="C24" s="13" t="s">
        <v>54</v>
      </c>
      <c r="D24" s="45">
        <f>1905742/77549.72*3799.73</f>
        <v>93376.2887817003</v>
      </c>
      <c r="E24" s="26">
        <f>D24/H19/12</f>
        <v>2.0478711378111143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6"/>
      <c r="AQ24" s="40"/>
      <c r="AR24" s="40"/>
    </row>
    <row r="25" spans="1:44" ht="25.5">
      <c r="A25" s="8">
        <v>3</v>
      </c>
      <c r="B25" s="5" t="s">
        <v>29</v>
      </c>
      <c r="C25" s="13"/>
      <c r="D25" s="45">
        <f>D26+D27+D28+D29+D30+D31+D32+D33+D34+D35+D36+D37+D38+D39+D40+D41+D42+D43+D44+D45+D46+D47+D48+D49+D50+D51+D52+D53+D54+D55+D56</f>
        <v>1693329.6974025178</v>
      </c>
      <c r="E25" s="26">
        <f>SUM(E26:E56)</f>
        <v>37.13706187462701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0"/>
      <c r="AR25" s="40"/>
    </row>
    <row r="26" spans="1:44" ht="25.5">
      <c r="A26" s="9">
        <v>3.1</v>
      </c>
      <c r="B26" s="5" t="s">
        <v>14</v>
      </c>
      <c r="C26" s="13"/>
      <c r="D26" s="46"/>
      <c r="E26" s="27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6"/>
      <c r="AQ26" s="40"/>
      <c r="AR26" s="40"/>
    </row>
    <row r="27" spans="1:44" ht="24">
      <c r="A27" s="6">
        <v>3.2</v>
      </c>
      <c r="B27" s="5" t="s">
        <v>15</v>
      </c>
      <c r="C27" s="13" t="s">
        <v>57</v>
      </c>
      <c r="D27" s="46">
        <f>353626/77549.72*3799.73</f>
        <v>17326.73336512369</v>
      </c>
      <c r="E27" s="27">
        <f>D27/H19/12</f>
        <v>0.3799992228641616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36"/>
      <c r="AQ27" s="40"/>
      <c r="AR27" s="40"/>
    </row>
    <row r="28" spans="1:44" ht="25.5">
      <c r="A28" s="9">
        <v>3.3</v>
      </c>
      <c r="B28" s="5" t="s">
        <v>16</v>
      </c>
      <c r="C28" s="13" t="s">
        <v>59</v>
      </c>
      <c r="D28" s="46">
        <f>158201/77549.72*3799.73</f>
        <v>7751.428189940595</v>
      </c>
      <c r="E28" s="27">
        <f>D28/H19/12</f>
        <v>0.1699995392203436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36"/>
      <c r="AQ28" s="40"/>
      <c r="AR28" s="40"/>
    </row>
    <row r="29" spans="1:44" ht="34.5" customHeight="1">
      <c r="A29" s="6" t="s">
        <v>68</v>
      </c>
      <c r="B29" s="5" t="s">
        <v>17</v>
      </c>
      <c r="C29" s="13" t="s">
        <v>56</v>
      </c>
      <c r="D29" s="46"/>
      <c r="E29" s="27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6"/>
      <c r="AQ29" s="40"/>
      <c r="AR29" s="40"/>
    </row>
    <row r="30" spans="1:44" ht="34.5" customHeight="1">
      <c r="A30" s="6" t="s">
        <v>69</v>
      </c>
      <c r="B30" s="5" t="s">
        <v>70</v>
      </c>
      <c r="C30" s="13"/>
      <c r="D30" s="46"/>
      <c r="E30" s="27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6"/>
      <c r="AQ30" s="40"/>
      <c r="AR30" s="40"/>
    </row>
    <row r="31" spans="1:44" ht="41.25" customHeight="1">
      <c r="A31" s="6" t="s">
        <v>71</v>
      </c>
      <c r="B31" s="5" t="s">
        <v>72</v>
      </c>
      <c r="C31" s="13"/>
      <c r="D31" s="46"/>
      <c r="E31" s="27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6"/>
      <c r="AQ31" s="40"/>
      <c r="AR31" s="40"/>
    </row>
    <row r="32" spans="1:44" ht="25.5">
      <c r="A32" s="9">
        <v>3.7</v>
      </c>
      <c r="B32" s="5" t="s">
        <v>18</v>
      </c>
      <c r="C32" s="13" t="s">
        <v>57</v>
      </c>
      <c r="D32" s="46">
        <f>2345097/77549.72*3799.73</f>
        <v>114903.51511017706</v>
      </c>
      <c r="E32" s="27">
        <f>D32/H19/12</f>
        <v>2.5199929799875487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36"/>
      <c r="AQ32" s="40"/>
      <c r="AR32" s="40"/>
    </row>
    <row r="33" spans="1:44" ht="25.5">
      <c r="A33" s="6">
        <v>3.8</v>
      </c>
      <c r="B33" s="5" t="s">
        <v>64</v>
      </c>
      <c r="C33" s="13" t="s">
        <v>57</v>
      </c>
      <c r="D33" s="46">
        <f>651416/77549.72*3799.73</f>
        <v>31917.651252383628</v>
      </c>
      <c r="E33" s="27">
        <f>D33/H19/12</f>
        <v>0.6999982290931116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36"/>
      <c r="AQ33" s="40"/>
      <c r="AR33" s="40"/>
    </row>
    <row r="34" spans="1:44" ht="25.5">
      <c r="A34" s="9">
        <v>3.9</v>
      </c>
      <c r="B34" s="5" t="s">
        <v>19</v>
      </c>
      <c r="C34" s="13" t="s">
        <v>57</v>
      </c>
      <c r="D34" s="46">
        <f>697946/77549.72*3799.73</f>
        <v>34197.49748393676</v>
      </c>
      <c r="E34" s="27">
        <f>D34/H19/12</f>
        <v>0.7499984096224547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36"/>
      <c r="AQ34" s="40"/>
      <c r="AR34" s="40"/>
    </row>
    <row r="35" spans="1:44" ht="25.5">
      <c r="A35" s="6" t="s">
        <v>30</v>
      </c>
      <c r="B35" s="5" t="s">
        <v>65</v>
      </c>
      <c r="C35" s="13" t="s">
        <v>57</v>
      </c>
      <c r="D35" s="46"/>
      <c r="E35" s="27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36"/>
      <c r="AQ35" s="40"/>
      <c r="AR35" s="40"/>
    </row>
    <row r="36" spans="1:44" ht="25.5">
      <c r="A36" s="6" t="s">
        <v>31</v>
      </c>
      <c r="B36" s="5" t="s">
        <v>66</v>
      </c>
      <c r="C36" s="13"/>
      <c r="D36" s="46"/>
      <c r="E36" s="27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36"/>
      <c r="AQ36" s="40"/>
      <c r="AR36" s="40"/>
    </row>
    <row r="37" spans="1:44" ht="40.5" customHeight="1">
      <c r="A37" s="6" t="s">
        <v>32</v>
      </c>
      <c r="B37" s="5" t="s">
        <v>20</v>
      </c>
      <c r="C37" s="13"/>
      <c r="D37" s="46"/>
      <c r="E37" s="27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36"/>
      <c r="AQ37" s="40"/>
      <c r="AR37" s="40"/>
    </row>
    <row r="38" spans="1:44" ht="51">
      <c r="A38" s="6" t="s">
        <v>33</v>
      </c>
      <c r="B38" s="5" t="s">
        <v>21</v>
      </c>
      <c r="C38" s="13" t="s">
        <v>58</v>
      </c>
      <c r="D38" s="46">
        <f>2373015/77549.72*3799.73</f>
        <v>116271.42284910893</v>
      </c>
      <c r="E38" s="27">
        <f>D38/H19/12</f>
        <v>2.5499930883051545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36"/>
      <c r="AQ38" s="40"/>
      <c r="AR38" s="40"/>
    </row>
    <row r="39" spans="1:44" ht="33" customHeight="1">
      <c r="A39" s="6" t="s">
        <v>34</v>
      </c>
      <c r="B39" s="5" t="s">
        <v>73</v>
      </c>
      <c r="C39" s="13"/>
      <c r="D39" s="46"/>
      <c r="E39" s="27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36"/>
      <c r="AQ39" s="40"/>
      <c r="AR39" s="40"/>
    </row>
    <row r="40" spans="1:44" ht="41.25" customHeight="1">
      <c r="A40" s="6" t="s">
        <v>35</v>
      </c>
      <c r="B40" s="5" t="s">
        <v>22</v>
      </c>
      <c r="C40" s="13"/>
      <c r="D40" s="46"/>
      <c r="E40" s="27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36"/>
      <c r="AQ40" s="40"/>
      <c r="AR40" s="40"/>
    </row>
    <row r="41" spans="1:44" ht="41.25" customHeight="1">
      <c r="A41" s="6" t="s">
        <v>36</v>
      </c>
      <c r="B41" s="5" t="s">
        <v>74</v>
      </c>
      <c r="C41" s="13"/>
      <c r="D41" s="46"/>
      <c r="E41" s="27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36"/>
      <c r="AQ41" s="40"/>
      <c r="AR41" s="40"/>
    </row>
    <row r="42" spans="1:44" ht="40.5" customHeight="1">
      <c r="A42" s="6" t="s">
        <v>37</v>
      </c>
      <c r="B42" s="5" t="s">
        <v>75</v>
      </c>
      <c r="C42" s="13" t="s">
        <v>54</v>
      </c>
      <c r="D42" s="47">
        <f>2696000/77549.72*3799.73</f>
        <v>132096.82871840158</v>
      </c>
      <c r="E42" s="27">
        <f>D42/H19/12</f>
        <v>2.897066123084219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36"/>
      <c r="AQ42" s="40"/>
      <c r="AR42" s="40"/>
    </row>
    <row r="43" spans="1:44" ht="51">
      <c r="A43" s="6" t="s">
        <v>38</v>
      </c>
      <c r="B43" s="5" t="s">
        <v>67</v>
      </c>
      <c r="C43" s="13"/>
      <c r="D43" s="46"/>
      <c r="E43" s="27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36"/>
      <c r="AQ43" s="40"/>
      <c r="AR43" s="40"/>
    </row>
    <row r="44" spans="1:44" ht="40.5" customHeight="1">
      <c r="A44" s="6" t="s">
        <v>39</v>
      </c>
      <c r="B44" s="5" t="s">
        <v>76</v>
      </c>
      <c r="C44" s="13"/>
      <c r="D44" s="46"/>
      <c r="E44" s="27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36"/>
      <c r="AQ44" s="40"/>
      <c r="AR44" s="40"/>
    </row>
    <row r="45" spans="1:44" ht="39" customHeight="1">
      <c r="A45" s="6" t="s">
        <v>40</v>
      </c>
      <c r="B45" s="5" t="s">
        <v>77</v>
      </c>
      <c r="C45" s="13" t="s">
        <v>54</v>
      </c>
      <c r="D45" s="29">
        <f>1448000/77549.72*3799.73</f>
        <v>70948.14836210884</v>
      </c>
      <c r="E45" s="27">
        <f>D45/H19/12</f>
        <v>1.5559910037930074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36"/>
      <c r="AQ45" s="40"/>
      <c r="AR45" s="40"/>
    </row>
    <row r="46" spans="1:44" ht="39" customHeight="1">
      <c r="A46" s="6" t="s">
        <v>41</v>
      </c>
      <c r="B46" s="5" t="s">
        <v>78</v>
      </c>
      <c r="C46" s="13"/>
      <c r="D46" s="29"/>
      <c r="E46" s="27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36"/>
      <c r="AQ46" s="40"/>
      <c r="AR46" s="40"/>
    </row>
    <row r="47" spans="1:44" ht="25.5">
      <c r="A47" s="6" t="s">
        <v>42</v>
      </c>
      <c r="B47" s="5" t="s">
        <v>62</v>
      </c>
      <c r="C47" s="13" t="s">
        <v>54</v>
      </c>
      <c r="D47" s="46"/>
      <c r="E47" s="27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36"/>
      <c r="AQ47" s="40"/>
      <c r="AR47" s="40"/>
    </row>
    <row r="48" spans="1:44" ht="25.5">
      <c r="A48" s="6" t="s">
        <v>43</v>
      </c>
      <c r="B48" s="7" t="s">
        <v>63</v>
      </c>
      <c r="C48" s="13" t="s">
        <v>54</v>
      </c>
      <c r="D48" s="46">
        <f>13972201/77549.72*3799.73</f>
        <v>684600.6833516613</v>
      </c>
      <c r="E48" s="27">
        <f>D48/H19/12</f>
        <v>15.014239681759435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36"/>
      <c r="AQ48" s="40"/>
      <c r="AR48" s="40"/>
    </row>
    <row r="49" spans="1:44" ht="25.5">
      <c r="A49" s="6" t="s">
        <v>46</v>
      </c>
      <c r="B49" s="5" t="s">
        <v>23</v>
      </c>
      <c r="C49" s="13" t="s">
        <v>60</v>
      </c>
      <c r="D49" s="46">
        <f>465297/77549.72*3799.73</f>
        <v>22798.31532351116</v>
      </c>
      <c r="E49" s="27">
        <f>D49/H19/12</f>
        <v>0.49999858155516225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36"/>
      <c r="AQ49" s="40"/>
      <c r="AR49" s="40"/>
    </row>
    <row r="50" spans="1:44" ht="25.5">
      <c r="A50" s="6" t="s">
        <v>79</v>
      </c>
      <c r="B50" s="5" t="s">
        <v>24</v>
      </c>
      <c r="C50" s="13" t="s">
        <v>61</v>
      </c>
      <c r="D50" s="46">
        <f>5667319/77549.72*3799.73</f>
        <v>277683.5560962696</v>
      </c>
      <c r="E50" s="27">
        <f>D50/H19/12</f>
        <v>6.089984378194187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36"/>
      <c r="AQ50" s="40"/>
      <c r="AR50" s="40"/>
    </row>
    <row r="51" spans="1:44" ht="38.25">
      <c r="A51" s="6" t="s">
        <v>80</v>
      </c>
      <c r="B51" s="5" t="s">
        <v>25</v>
      </c>
      <c r="C51" s="17" t="s">
        <v>55</v>
      </c>
      <c r="D51" s="29">
        <f>2308000/77549.72*3799.73</f>
        <v>113085.86078711825</v>
      </c>
      <c r="E51" s="27">
        <f>D51/H19/12</f>
        <v>2.4801293071507327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36"/>
      <c r="AQ51" s="40"/>
      <c r="AR51" s="40"/>
    </row>
    <row r="52" spans="1:44" ht="25.5">
      <c r="A52" s="6" t="s">
        <v>81</v>
      </c>
      <c r="B52" s="5" t="s">
        <v>26</v>
      </c>
      <c r="C52" s="13" t="s">
        <v>54</v>
      </c>
      <c r="D52" s="29">
        <f>9000/77549.72*3799.73</f>
        <v>440.9760602617263</v>
      </c>
      <c r="E52" s="27">
        <f>D52/H19/12</f>
        <v>0.009671214802580848</v>
      </c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36"/>
      <c r="AQ52" s="40"/>
      <c r="AR52" s="40"/>
    </row>
    <row r="53" spans="1:44" ht="38.25">
      <c r="A53" s="6" t="s">
        <v>82</v>
      </c>
      <c r="B53" s="5" t="s">
        <v>27</v>
      </c>
      <c r="C53" s="14" t="s">
        <v>54</v>
      </c>
      <c r="D53" s="29">
        <f>1414507/77549.72*3799.73</f>
        <v>69307.08045251486</v>
      </c>
      <c r="E53" s="27">
        <f>D53/H19/12</f>
        <v>1.5200001151949143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36"/>
      <c r="AQ53" s="40"/>
      <c r="AR53" s="40"/>
    </row>
    <row r="54" spans="1:44" ht="25.5">
      <c r="A54" s="6" t="s">
        <v>44</v>
      </c>
      <c r="B54" s="5" t="s">
        <v>28</v>
      </c>
      <c r="C54" s="15" t="s">
        <v>54</v>
      </c>
      <c r="D54" s="46"/>
      <c r="E54" s="27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36"/>
      <c r="AQ54" s="40"/>
      <c r="AR54" s="40"/>
    </row>
    <row r="55" spans="1:44" ht="38.25">
      <c r="A55" s="6" t="s">
        <v>48</v>
      </c>
      <c r="B55" s="5" t="s">
        <v>49</v>
      </c>
      <c r="C55" s="13" t="s">
        <v>52</v>
      </c>
      <c r="D55" s="46"/>
      <c r="E55" s="27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36"/>
      <c r="AQ55" s="40"/>
      <c r="AR55" s="40"/>
    </row>
    <row r="56" spans="1:44" ht="38.25">
      <c r="A56" s="6" t="s">
        <v>50</v>
      </c>
      <c r="B56" s="5" t="s">
        <v>51</v>
      </c>
      <c r="C56" s="13" t="s">
        <v>52</v>
      </c>
      <c r="D56" s="46"/>
      <c r="E56" s="27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36"/>
      <c r="AQ56" s="40"/>
      <c r="AR56" s="40"/>
    </row>
    <row r="57" spans="4:5" ht="15">
      <c r="D57" s="12"/>
      <c r="E57" s="22"/>
    </row>
    <row r="58" spans="4:5" ht="15">
      <c r="D58" s="12"/>
      <c r="E58" s="22"/>
    </row>
    <row r="59" spans="4:5" ht="15">
      <c r="D59" s="12"/>
      <c r="E59" s="22"/>
    </row>
    <row r="60" spans="4:5" ht="15">
      <c r="D60" s="12"/>
      <c r="E60" s="22"/>
    </row>
    <row r="61" spans="4:5" ht="15">
      <c r="D61" s="12"/>
      <c r="E61" s="22"/>
    </row>
    <row r="62" spans="4:5" ht="15">
      <c r="D62" s="12"/>
      <c r="E62" s="22"/>
    </row>
    <row r="63" spans="4:5" ht="15">
      <c r="D63" s="12"/>
      <c r="E63" s="22"/>
    </row>
    <row r="64" spans="4:5" ht="15">
      <c r="D64" s="12"/>
      <c r="E64" s="22"/>
    </row>
    <row r="65" spans="4:5" ht="15">
      <c r="D65" s="12"/>
      <c r="E65" s="22"/>
    </row>
    <row r="66" spans="4:5" ht="15">
      <c r="D66" s="12"/>
      <c r="E66" s="22"/>
    </row>
    <row r="67" spans="4:5" ht="15">
      <c r="D67" s="12"/>
      <c r="E67" s="22"/>
    </row>
    <row r="68" spans="4:5" ht="15">
      <c r="D68" s="12"/>
      <c r="E68" s="22"/>
    </row>
    <row r="69" spans="4:5" ht="15">
      <c r="D69" s="12"/>
      <c r="E69" s="22"/>
    </row>
    <row r="70" spans="4:5" ht="15">
      <c r="D70" s="12"/>
      <c r="E70" s="22"/>
    </row>
    <row r="71" spans="4:5" ht="15">
      <c r="D71" s="12"/>
      <c r="E71" s="22"/>
    </row>
    <row r="72" spans="4:5" ht="15">
      <c r="D72" s="12"/>
      <c r="E72" s="22"/>
    </row>
    <row r="73" spans="4:5" ht="15">
      <c r="D73" s="12"/>
      <c r="E73" s="22"/>
    </row>
    <row r="74" spans="4:5" ht="15">
      <c r="D74" s="12"/>
      <c r="E74" s="22"/>
    </row>
    <row r="75" spans="4:5" ht="15">
      <c r="D75" s="12"/>
      <c r="E75" s="22"/>
    </row>
    <row r="76" spans="4:5" ht="15">
      <c r="D76" s="12"/>
      <c r="E76" s="22"/>
    </row>
    <row r="77" spans="4:5" ht="15">
      <c r="D77" s="12"/>
      <c r="E77" s="22"/>
    </row>
    <row r="78" spans="4:5" ht="15">
      <c r="D78" s="12"/>
      <c r="E78" s="22"/>
    </row>
    <row r="79" spans="4:5" ht="15">
      <c r="D79" s="12"/>
      <c r="E79" s="22"/>
    </row>
    <row r="80" spans="4:5" ht="15">
      <c r="D80" s="12"/>
      <c r="E80" s="22"/>
    </row>
    <row r="81" spans="4:5" ht="15">
      <c r="D81" s="12"/>
      <c r="E81" s="22"/>
    </row>
    <row r="82" spans="4:5" ht="15">
      <c r="D82" s="12"/>
      <c r="E82" s="22"/>
    </row>
    <row r="83" spans="4:5" ht="15">
      <c r="D83" s="12"/>
      <c r="E83" s="22"/>
    </row>
    <row r="84" spans="4:5" ht="15">
      <c r="D84" s="12"/>
      <c r="E84" s="22"/>
    </row>
    <row r="85" spans="4:5" ht="15">
      <c r="D85" s="12"/>
      <c r="E85" s="22"/>
    </row>
    <row r="86" spans="4:5" ht="15">
      <c r="D86" s="12"/>
      <c r="E86" s="22"/>
    </row>
    <row r="87" spans="4:5" ht="15">
      <c r="D87" s="12"/>
      <c r="E87" s="22"/>
    </row>
    <row r="88" spans="4:5" ht="15">
      <c r="D88" s="12"/>
      <c r="E88" s="22"/>
    </row>
    <row r="89" spans="4:5" ht="15">
      <c r="D89" s="12"/>
      <c r="E89" s="22"/>
    </row>
    <row r="90" spans="4:5" ht="15">
      <c r="D90" s="12"/>
      <c r="E90" s="22"/>
    </row>
    <row r="91" spans="4:5" ht="15">
      <c r="D91" s="12"/>
      <c r="E91" s="22"/>
    </row>
    <row r="92" spans="4:5" ht="15">
      <c r="D92" s="12"/>
      <c r="E92" s="22"/>
    </row>
    <row r="93" spans="4:5" ht="15">
      <c r="D93" s="12"/>
      <c r="E93" s="22"/>
    </row>
    <row r="94" spans="4:5" ht="15">
      <c r="D94" s="12"/>
      <c r="E94" s="22"/>
    </row>
    <row r="95" spans="4:5" ht="15">
      <c r="D95" s="12"/>
      <c r="E95" s="22"/>
    </row>
    <row r="96" spans="4:5" ht="15">
      <c r="D96" s="12"/>
      <c r="E96" s="22"/>
    </row>
    <row r="97" spans="4:5" ht="15">
      <c r="D97" s="12"/>
      <c r="E97" s="22"/>
    </row>
    <row r="98" spans="4:5" ht="15">
      <c r="D98" s="12"/>
      <c r="E98" s="22"/>
    </row>
    <row r="99" spans="4:5" ht="15">
      <c r="D99" s="12"/>
      <c r="E99" s="22"/>
    </row>
    <row r="100" spans="4:5" ht="15">
      <c r="D100" s="12"/>
      <c r="E100" s="22"/>
    </row>
    <row r="101" spans="4:5" ht="15">
      <c r="D101" s="12"/>
      <c r="E101" s="22"/>
    </row>
    <row r="102" spans="4:5" ht="15">
      <c r="D102" s="12"/>
      <c r="E102" s="22"/>
    </row>
    <row r="103" spans="4:5" ht="15">
      <c r="D103" s="12"/>
      <c r="E103" s="22"/>
    </row>
    <row r="104" spans="4:5" ht="15">
      <c r="D104" s="12"/>
      <c r="E104" s="22"/>
    </row>
    <row r="105" spans="4:5" ht="15">
      <c r="D105" s="12"/>
      <c r="E105" s="22"/>
    </row>
    <row r="106" spans="4:5" ht="15">
      <c r="D106" s="12"/>
      <c r="E106" s="22"/>
    </row>
    <row r="107" spans="4:5" ht="15">
      <c r="D107" s="12"/>
      <c r="E107" s="22"/>
    </row>
    <row r="108" spans="4:5" ht="15">
      <c r="D108" s="12"/>
      <c r="E108" s="22"/>
    </row>
    <row r="109" spans="4:5" ht="15">
      <c r="D109" s="12"/>
      <c r="E109" s="22"/>
    </row>
    <row r="110" spans="4:5" ht="15">
      <c r="D110" s="12"/>
      <c r="E110" s="22"/>
    </row>
    <row r="111" spans="4:5" ht="15">
      <c r="D111" s="12"/>
      <c r="E111" s="22"/>
    </row>
    <row r="112" spans="4:5" ht="15">
      <c r="D112" s="12"/>
      <c r="E112" s="22"/>
    </row>
    <row r="113" spans="4:5" ht="15">
      <c r="D113" s="12"/>
      <c r="E113" s="22"/>
    </row>
    <row r="114" spans="4:5" ht="15">
      <c r="D114" s="12"/>
      <c r="E114" s="22"/>
    </row>
    <row r="115" spans="4:5" ht="15">
      <c r="D115" s="12"/>
      <c r="E115" s="22"/>
    </row>
    <row r="116" spans="4:5" ht="15">
      <c r="D116" s="12"/>
      <c r="E116" s="22"/>
    </row>
    <row r="117" spans="4:5" ht="15">
      <c r="D117" s="12"/>
      <c r="E117" s="22"/>
    </row>
    <row r="118" spans="4:5" ht="15">
      <c r="D118" s="12"/>
      <c r="E118" s="22"/>
    </row>
    <row r="119" spans="4:5" ht="15">
      <c r="D119" s="12"/>
      <c r="E119" s="22"/>
    </row>
    <row r="120" spans="4:5" ht="15">
      <c r="D120" s="12"/>
      <c r="E120" s="22"/>
    </row>
    <row r="121" spans="4:5" ht="15">
      <c r="D121" s="12"/>
      <c r="E121" s="22"/>
    </row>
    <row r="122" spans="4:5" ht="15">
      <c r="D122" s="12"/>
      <c r="E122" s="22"/>
    </row>
    <row r="123" spans="4:5" ht="15">
      <c r="D123" s="12"/>
      <c r="E123" s="22"/>
    </row>
    <row r="124" spans="4:5" ht="15">
      <c r="D124" s="12"/>
      <c r="E124" s="22"/>
    </row>
    <row r="125" spans="4:5" ht="15">
      <c r="D125" s="12"/>
      <c r="E125" s="22"/>
    </row>
    <row r="126" spans="4:5" ht="15">
      <c r="D126" s="12"/>
      <c r="E126" s="22"/>
    </row>
    <row r="127" spans="4:5" ht="15">
      <c r="D127" s="12"/>
      <c r="E127" s="22"/>
    </row>
    <row r="128" spans="4:5" ht="15">
      <c r="D128" s="12"/>
      <c r="E128" s="22"/>
    </row>
    <row r="129" spans="4:5" ht="15">
      <c r="D129" s="12"/>
      <c r="E129" s="22"/>
    </row>
    <row r="130" spans="4:5" ht="15">
      <c r="D130" s="12"/>
      <c r="E130" s="22"/>
    </row>
  </sheetData>
  <sheetProtection/>
  <mergeCells count="16">
    <mergeCell ref="A14:F14"/>
    <mergeCell ref="A15:F15"/>
    <mergeCell ref="A21:A22"/>
    <mergeCell ref="B21:B22"/>
    <mergeCell ref="D21:D22"/>
    <mergeCell ref="E21:E22"/>
    <mergeCell ref="A16:F16"/>
    <mergeCell ref="A17:F17"/>
    <mergeCell ref="A8:B8"/>
    <mergeCell ref="E8:F8"/>
    <mergeCell ref="A9:B9"/>
    <mergeCell ref="D9:F9"/>
    <mergeCell ref="A10:B10"/>
    <mergeCell ref="D10:F10"/>
    <mergeCell ref="A11:B11"/>
    <mergeCell ref="A12:B12"/>
  </mergeCells>
  <printOptions/>
  <pageMargins left="1.1811023622047245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130"/>
  <sheetViews>
    <sheetView zoomScalePageLayoutView="0" workbookViewId="0" topLeftCell="A8">
      <selection activeCell="A12" sqref="A12:B12"/>
    </sheetView>
  </sheetViews>
  <sheetFormatPr defaultColWidth="9.140625" defaultRowHeight="15"/>
  <cols>
    <col min="1" max="1" width="5.8515625" style="4" customWidth="1"/>
    <col min="2" max="2" width="38.00390625" style="4" customWidth="1"/>
    <col min="3" max="3" width="17.7109375" style="4" hidden="1" customWidth="1"/>
    <col min="4" max="4" width="14.28125" style="4" customWidth="1"/>
    <col min="5" max="5" width="23.421875" style="19" customWidth="1"/>
    <col min="6" max="6" width="10.140625" style="30" customWidth="1"/>
    <col min="7" max="7" width="10.57421875" style="31" customWidth="1"/>
    <col min="8" max="8" width="10.421875" style="31" customWidth="1"/>
    <col min="9" max="9" width="10.00390625" style="31" customWidth="1"/>
    <col min="10" max="10" width="9.8515625" style="31" customWidth="1"/>
    <col min="11" max="11" width="9.28125" style="31" customWidth="1"/>
    <col min="12" max="14" width="9.8515625" style="31" customWidth="1"/>
    <col min="15" max="23" width="9.8515625" style="31" hidden="1" customWidth="1"/>
    <col min="24" max="39" width="9.8515625" style="31" customWidth="1"/>
    <col min="40" max="40" width="11.421875" style="31" customWidth="1"/>
    <col min="41" max="41" width="11.00390625" style="31" customWidth="1"/>
    <col min="42" max="42" width="11.140625" style="31" customWidth="1"/>
    <col min="43" max="44" width="9.140625" style="31" customWidth="1"/>
    <col min="45" max="16384" width="9.140625" style="4" customWidth="1"/>
  </cols>
  <sheetData>
    <row r="1" spans="1:5" ht="15.75" hidden="1">
      <c r="A1" s="1" t="s">
        <v>0</v>
      </c>
      <c r="E1" s="18" t="s">
        <v>9</v>
      </c>
    </row>
    <row r="2" spans="1:5" ht="15.75" hidden="1">
      <c r="A2" s="1" t="s">
        <v>1</v>
      </c>
      <c r="E2" s="18" t="s">
        <v>11</v>
      </c>
    </row>
    <row r="3" spans="1:5" ht="15.75" hidden="1">
      <c r="A3" s="1" t="s">
        <v>2</v>
      </c>
      <c r="E3" s="18" t="s">
        <v>10</v>
      </c>
    </row>
    <row r="4" ht="15.75" hidden="1">
      <c r="A4" s="1" t="s">
        <v>3</v>
      </c>
    </row>
    <row r="5" ht="15" hidden="1"/>
    <row r="6" spans="1:5" ht="93.75" hidden="1">
      <c r="A6" s="2" t="s">
        <v>12</v>
      </c>
      <c r="B6" s="3"/>
      <c r="C6" s="3"/>
      <c r="D6" s="3"/>
      <c r="E6" s="20"/>
    </row>
    <row r="7" spans="1:5" ht="15" hidden="1">
      <c r="A7" s="3" t="s">
        <v>53</v>
      </c>
      <c r="B7" s="3"/>
      <c r="C7" s="3"/>
      <c r="D7" s="3"/>
      <c r="E7" s="21"/>
    </row>
    <row r="8" spans="1:6" ht="15.75" customHeight="1">
      <c r="A8" s="60" t="s">
        <v>0</v>
      </c>
      <c r="B8" s="61"/>
      <c r="C8" s="52"/>
      <c r="D8" s="53"/>
      <c r="E8" s="62" t="s">
        <v>9</v>
      </c>
      <c r="F8" s="63"/>
    </row>
    <row r="9" spans="1:6" ht="15">
      <c r="A9" s="61" t="s">
        <v>83</v>
      </c>
      <c r="B9" s="61"/>
      <c r="C9" s="52"/>
      <c r="D9" s="64" t="s">
        <v>114</v>
      </c>
      <c r="E9" s="63"/>
      <c r="F9" s="63"/>
    </row>
    <row r="10" spans="1:6" ht="15">
      <c r="A10" s="61" t="s">
        <v>84</v>
      </c>
      <c r="B10" s="61"/>
      <c r="C10" s="52"/>
      <c r="D10" s="64" t="s">
        <v>118</v>
      </c>
      <c r="E10" s="63"/>
      <c r="F10" s="63"/>
    </row>
    <row r="11" spans="1:5" ht="15">
      <c r="A11" s="61" t="s">
        <v>2</v>
      </c>
      <c r="B11" s="61"/>
      <c r="C11" s="52"/>
      <c r="D11" s="52"/>
      <c r="E11" s="21"/>
    </row>
    <row r="12" spans="1:5" ht="15" customHeight="1">
      <c r="A12" s="61" t="s">
        <v>142</v>
      </c>
      <c r="B12" s="61"/>
      <c r="C12" s="52"/>
      <c r="D12" s="52"/>
      <c r="E12" s="21"/>
    </row>
    <row r="13" spans="1:5" ht="15">
      <c r="A13" s="54"/>
      <c r="B13" s="54"/>
      <c r="C13" s="52"/>
      <c r="D13" s="52"/>
      <c r="E13" s="21"/>
    </row>
    <row r="14" spans="1:6" ht="15.75">
      <c r="A14" s="67" t="s">
        <v>86</v>
      </c>
      <c r="B14" s="67"/>
      <c r="C14" s="67"/>
      <c r="D14" s="67"/>
      <c r="E14" s="67"/>
      <c r="F14" s="67"/>
    </row>
    <row r="15" spans="1:6" ht="15.75">
      <c r="A15" s="67" t="s">
        <v>87</v>
      </c>
      <c r="B15" s="67"/>
      <c r="C15" s="67"/>
      <c r="D15" s="67"/>
      <c r="E15" s="67"/>
      <c r="F15" s="67"/>
    </row>
    <row r="16" spans="1:6" ht="15.75">
      <c r="A16" s="67" t="s">
        <v>88</v>
      </c>
      <c r="B16" s="67"/>
      <c r="C16" s="67"/>
      <c r="D16" s="67"/>
      <c r="E16" s="67"/>
      <c r="F16" s="67"/>
    </row>
    <row r="17" spans="1:6" ht="15">
      <c r="A17" s="80" t="s">
        <v>94</v>
      </c>
      <c r="B17" s="81"/>
      <c r="C17" s="81"/>
      <c r="D17" s="81"/>
      <c r="E17" s="81"/>
      <c r="F17" s="81"/>
    </row>
    <row r="18" spans="1:5" ht="15">
      <c r="A18" s="3"/>
      <c r="B18" s="3"/>
      <c r="C18" s="3"/>
      <c r="D18" s="3"/>
      <c r="E18" s="55"/>
    </row>
    <row r="19" spans="1:9" ht="28.5">
      <c r="A19" s="10" t="s">
        <v>47</v>
      </c>
      <c r="B19" s="3"/>
      <c r="C19" s="3"/>
      <c r="D19" s="3"/>
      <c r="E19" s="48"/>
      <c r="H19" s="51">
        <v>1461.63</v>
      </c>
      <c r="I19" s="31">
        <v>77549.72</v>
      </c>
    </row>
    <row r="20" ht="15">
      <c r="D20" s="16"/>
    </row>
    <row r="21" spans="1:42" ht="42" customHeight="1">
      <c r="A21" s="74" t="s">
        <v>8</v>
      </c>
      <c r="B21" s="74" t="s">
        <v>4</v>
      </c>
      <c r="C21" s="28" t="s">
        <v>5</v>
      </c>
      <c r="D21" s="75" t="s">
        <v>6</v>
      </c>
      <c r="E21" s="77" t="s">
        <v>7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3"/>
    </row>
    <row r="22" spans="1:42" ht="14.25" customHeight="1">
      <c r="A22" s="74"/>
      <c r="B22" s="74"/>
      <c r="C22" s="28"/>
      <c r="D22" s="76"/>
      <c r="E22" s="77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6"/>
    </row>
    <row r="23" spans="1:44" s="11" customFormat="1" ht="51">
      <c r="A23" s="23">
        <v>1</v>
      </c>
      <c r="B23" s="24" t="s">
        <v>13</v>
      </c>
      <c r="C23" s="25"/>
      <c r="D23" s="44">
        <f>D24+D25+D54+D55</f>
        <v>687286.4836676394</v>
      </c>
      <c r="E23" s="50">
        <f>E24+E25+E54+E55</f>
        <v>39.18493301243812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6"/>
      <c r="AQ23" s="38"/>
      <c r="AR23" s="38"/>
    </row>
    <row r="24" spans="1:44" ht="51.75" customHeight="1">
      <c r="A24" s="8">
        <v>2</v>
      </c>
      <c r="B24" s="5" t="s">
        <v>45</v>
      </c>
      <c r="C24" s="13" t="s">
        <v>54</v>
      </c>
      <c r="D24" s="45">
        <f>1905742/77549.72*1461.63</f>
        <v>35918.75869390631</v>
      </c>
      <c r="E24" s="26">
        <f>D24/H19/12</f>
        <v>2.0478711378111143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6"/>
      <c r="AQ24" s="40"/>
      <c r="AR24" s="40"/>
    </row>
    <row r="25" spans="1:44" ht="25.5">
      <c r="A25" s="8">
        <v>3</v>
      </c>
      <c r="B25" s="5" t="s">
        <v>29</v>
      </c>
      <c r="C25" s="13"/>
      <c r="D25" s="45">
        <f>D26+D27+D28+D29+D30+D31+D32+D33+D34+D35+D36+D37+D38+D39+D40+D41+D42+D43+D44+D45+D46+D47+D48+D49+D50+D51+D52+D53+D54+D55+D56</f>
        <v>651367.7249737331</v>
      </c>
      <c r="E25" s="26">
        <f>SUM(E26:E56)</f>
        <v>37.13706187462701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0"/>
      <c r="AR25" s="40"/>
    </row>
    <row r="26" spans="1:44" ht="25.5">
      <c r="A26" s="9">
        <v>3.1</v>
      </c>
      <c r="B26" s="5" t="s">
        <v>14</v>
      </c>
      <c r="C26" s="13"/>
      <c r="D26" s="46"/>
      <c r="E26" s="27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6"/>
      <c r="AQ26" s="40"/>
      <c r="AR26" s="40"/>
    </row>
    <row r="27" spans="1:44" ht="24">
      <c r="A27" s="6">
        <v>3.2</v>
      </c>
      <c r="B27" s="5" t="s">
        <v>15</v>
      </c>
      <c r="C27" s="13" t="s">
        <v>57</v>
      </c>
      <c r="D27" s="46">
        <f>353626/77549.72*1461.63</f>
        <v>6665.019169379335</v>
      </c>
      <c r="E27" s="27">
        <f>D27/H19/12</f>
        <v>0.3799992228641616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36"/>
      <c r="AQ27" s="40"/>
      <c r="AR27" s="40"/>
    </row>
    <row r="28" spans="1:44" ht="25.5">
      <c r="A28" s="9">
        <v>3.3</v>
      </c>
      <c r="B28" s="5" t="s">
        <v>16</v>
      </c>
      <c r="C28" s="13" t="s">
        <v>59</v>
      </c>
      <c r="D28" s="46">
        <f>158201/77549.72*1461.63</f>
        <v>2981.7171181275703</v>
      </c>
      <c r="E28" s="27">
        <f>D28/H19/12</f>
        <v>0.1699995392203436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36"/>
      <c r="AQ28" s="40"/>
      <c r="AR28" s="40"/>
    </row>
    <row r="29" spans="1:44" ht="34.5" customHeight="1">
      <c r="A29" s="6" t="s">
        <v>68</v>
      </c>
      <c r="B29" s="5" t="s">
        <v>17</v>
      </c>
      <c r="C29" s="13" t="s">
        <v>56</v>
      </c>
      <c r="D29" s="46"/>
      <c r="E29" s="27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6"/>
      <c r="AQ29" s="40"/>
      <c r="AR29" s="40"/>
    </row>
    <row r="30" spans="1:44" ht="34.5" customHeight="1">
      <c r="A30" s="6" t="s">
        <v>69</v>
      </c>
      <c r="B30" s="5" t="s">
        <v>70</v>
      </c>
      <c r="C30" s="13"/>
      <c r="D30" s="46"/>
      <c r="E30" s="27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6"/>
      <c r="AQ30" s="40"/>
      <c r="AR30" s="40"/>
    </row>
    <row r="31" spans="1:44" ht="41.25" customHeight="1">
      <c r="A31" s="6" t="s">
        <v>71</v>
      </c>
      <c r="B31" s="5" t="s">
        <v>72</v>
      </c>
      <c r="C31" s="13"/>
      <c r="D31" s="46"/>
      <c r="E31" s="27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6"/>
      <c r="AQ31" s="40"/>
      <c r="AR31" s="40"/>
    </row>
    <row r="32" spans="1:44" ht="25.5">
      <c r="A32" s="9">
        <v>3.7</v>
      </c>
      <c r="B32" s="5" t="s">
        <v>18</v>
      </c>
      <c r="C32" s="13" t="s">
        <v>57</v>
      </c>
      <c r="D32" s="46">
        <f>2345097/77549.72*1461.63</f>
        <v>44199.56807207041</v>
      </c>
      <c r="E32" s="27">
        <f>D32/H19/12</f>
        <v>2.5199929799875487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36"/>
      <c r="AQ32" s="40"/>
      <c r="AR32" s="40"/>
    </row>
    <row r="33" spans="1:44" ht="25.5">
      <c r="A33" s="6">
        <v>3.8</v>
      </c>
      <c r="B33" s="5" t="s">
        <v>64</v>
      </c>
      <c r="C33" s="13" t="s">
        <v>57</v>
      </c>
      <c r="D33" s="46">
        <f>651416/77549.72*1461.63</f>
        <v>12277.660939072379</v>
      </c>
      <c r="E33" s="27">
        <f>D33/H19/12</f>
        <v>0.6999982290931116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36"/>
      <c r="AQ33" s="40"/>
      <c r="AR33" s="40"/>
    </row>
    <row r="34" spans="1:44" ht="25.5">
      <c r="A34" s="9">
        <v>3.9</v>
      </c>
      <c r="B34" s="5" t="s">
        <v>19</v>
      </c>
      <c r="C34" s="13" t="s">
        <v>57</v>
      </c>
      <c r="D34" s="46">
        <f>697946/77549.72*1461.63</f>
        <v>13154.642105477622</v>
      </c>
      <c r="E34" s="27">
        <f>D34/H19/12</f>
        <v>0.7499984096224547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36"/>
      <c r="AQ34" s="40"/>
      <c r="AR34" s="40"/>
    </row>
    <row r="35" spans="1:44" ht="25.5">
      <c r="A35" s="6" t="s">
        <v>30</v>
      </c>
      <c r="B35" s="5" t="s">
        <v>65</v>
      </c>
      <c r="C35" s="13" t="s">
        <v>57</v>
      </c>
      <c r="D35" s="46"/>
      <c r="E35" s="27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36"/>
      <c r="AQ35" s="40"/>
      <c r="AR35" s="40"/>
    </row>
    <row r="36" spans="1:44" ht="25.5">
      <c r="A36" s="6" t="s">
        <v>31</v>
      </c>
      <c r="B36" s="5" t="s">
        <v>66</v>
      </c>
      <c r="C36" s="13"/>
      <c r="D36" s="46"/>
      <c r="E36" s="27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36"/>
      <c r="AQ36" s="40"/>
      <c r="AR36" s="40"/>
    </row>
    <row r="37" spans="1:44" ht="40.5" customHeight="1">
      <c r="A37" s="6" t="s">
        <v>32</v>
      </c>
      <c r="B37" s="5" t="s">
        <v>20</v>
      </c>
      <c r="C37" s="13"/>
      <c r="D37" s="46"/>
      <c r="E37" s="27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36"/>
      <c r="AQ37" s="40"/>
      <c r="AR37" s="40"/>
    </row>
    <row r="38" spans="1:44" ht="51">
      <c r="A38" s="6" t="s">
        <v>33</v>
      </c>
      <c r="B38" s="5" t="s">
        <v>21</v>
      </c>
      <c r="C38" s="13" t="s">
        <v>58</v>
      </c>
      <c r="D38" s="46">
        <f>2373015/77549.72*1461.63</f>
        <v>44725.756771913555</v>
      </c>
      <c r="E38" s="27">
        <f>D38/H19/12</f>
        <v>2.5499930883051545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36"/>
      <c r="AQ38" s="40"/>
      <c r="AR38" s="40"/>
    </row>
    <row r="39" spans="1:44" ht="33" customHeight="1">
      <c r="A39" s="6" t="s">
        <v>34</v>
      </c>
      <c r="B39" s="5" t="s">
        <v>73</v>
      </c>
      <c r="C39" s="13"/>
      <c r="D39" s="46"/>
      <c r="E39" s="27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36"/>
      <c r="AQ39" s="40"/>
      <c r="AR39" s="40"/>
    </row>
    <row r="40" spans="1:44" ht="41.25" customHeight="1">
      <c r="A40" s="6" t="s">
        <v>35</v>
      </c>
      <c r="B40" s="5" t="s">
        <v>22</v>
      </c>
      <c r="C40" s="13"/>
      <c r="D40" s="46"/>
      <c r="E40" s="27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36"/>
      <c r="AQ40" s="40"/>
      <c r="AR40" s="40"/>
    </row>
    <row r="41" spans="1:44" ht="41.25" customHeight="1">
      <c r="A41" s="6" t="s">
        <v>36</v>
      </c>
      <c r="B41" s="5" t="s">
        <v>74</v>
      </c>
      <c r="C41" s="13"/>
      <c r="D41" s="46"/>
      <c r="E41" s="27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36"/>
      <c r="AQ41" s="40"/>
      <c r="AR41" s="40"/>
    </row>
    <row r="42" spans="1:44" ht="40.5" customHeight="1">
      <c r="A42" s="6" t="s">
        <v>37</v>
      </c>
      <c r="B42" s="5" t="s">
        <v>75</v>
      </c>
      <c r="C42" s="13" t="s">
        <v>54</v>
      </c>
      <c r="D42" s="47">
        <f>2696000/77549.72*1461.63</f>
        <v>50813.26508980303</v>
      </c>
      <c r="E42" s="27">
        <f>D42/H19/12</f>
        <v>2.8970661230842185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36"/>
      <c r="AQ42" s="40"/>
      <c r="AR42" s="40"/>
    </row>
    <row r="43" spans="1:44" ht="51">
      <c r="A43" s="6" t="s">
        <v>38</v>
      </c>
      <c r="B43" s="5" t="s">
        <v>67</v>
      </c>
      <c r="C43" s="13"/>
      <c r="D43" s="46"/>
      <c r="E43" s="27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36"/>
      <c r="AQ43" s="40"/>
      <c r="AR43" s="40"/>
    </row>
    <row r="44" spans="1:44" ht="40.5" customHeight="1">
      <c r="A44" s="6" t="s">
        <v>39</v>
      </c>
      <c r="B44" s="5" t="s">
        <v>76</v>
      </c>
      <c r="C44" s="13"/>
      <c r="D44" s="46"/>
      <c r="E44" s="27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36"/>
      <c r="AQ44" s="40"/>
      <c r="AR44" s="40"/>
    </row>
    <row r="45" spans="1:44" ht="39" customHeight="1">
      <c r="A45" s="6" t="s">
        <v>40</v>
      </c>
      <c r="B45" s="5" t="s">
        <v>77</v>
      </c>
      <c r="C45" s="13" t="s">
        <v>54</v>
      </c>
      <c r="D45" s="29">
        <f>1448000/77549.72*1461.63</f>
        <v>27291.397570487683</v>
      </c>
      <c r="E45" s="27">
        <f>D45/H19/12</f>
        <v>1.5559910037930074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36"/>
      <c r="AQ45" s="40"/>
      <c r="AR45" s="40"/>
    </row>
    <row r="46" spans="1:44" ht="39" customHeight="1">
      <c r="A46" s="6" t="s">
        <v>41</v>
      </c>
      <c r="B46" s="5" t="s">
        <v>78</v>
      </c>
      <c r="C46" s="13"/>
      <c r="D46" s="29"/>
      <c r="E46" s="27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36"/>
      <c r="AQ46" s="40"/>
      <c r="AR46" s="40"/>
    </row>
    <row r="47" spans="1:44" ht="25.5">
      <c r="A47" s="6" t="s">
        <v>42</v>
      </c>
      <c r="B47" s="5" t="s">
        <v>62</v>
      </c>
      <c r="C47" s="13" t="s">
        <v>54</v>
      </c>
      <c r="D47" s="46"/>
      <c r="E47" s="27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36"/>
      <c r="AQ47" s="40"/>
      <c r="AR47" s="40"/>
    </row>
    <row r="48" spans="1:44" ht="25.5">
      <c r="A48" s="6" t="s">
        <v>43</v>
      </c>
      <c r="B48" s="7" t="s">
        <v>63</v>
      </c>
      <c r="C48" s="13" t="s">
        <v>54</v>
      </c>
      <c r="D48" s="46">
        <f>13972201/77549.72*1461.63</f>
        <v>263343.15775260056</v>
      </c>
      <c r="E48" s="27">
        <f>D48/H19/12</f>
        <v>15.014239681759436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36"/>
      <c r="AQ48" s="40"/>
      <c r="AR48" s="40"/>
    </row>
    <row r="49" spans="1:44" ht="25.5">
      <c r="A49" s="6" t="s">
        <v>46</v>
      </c>
      <c r="B49" s="5" t="s">
        <v>23</v>
      </c>
      <c r="C49" s="13" t="s">
        <v>60</v>
      </c>
      <c r="D49" s="46">
        <f>465297/77549.72*1461.63</f>
        <v>8769.755121101662</v>
      </c>
      <c r="E49" s="27">
        <f>D49/H19/12</f>
        <v>0.4999985815551622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36"/>
      <c r="AQ49" s="40"/>
      <c r="AR49" s="40"/>
    </row>
    <row r="50" spans="1:44" ht="25.5">
      <c r="A50" s="6" t="s">
        <v>79</v>
      </c>
      <c r="B50" s="5" t="s">
        <v>24</v>
      </c>
      <c r="C50" s="13" t="s">
        <v>61</v>
      </c>
      <c r="D50" s="46">
        <f>5667319/77549.72*1461.63</f>
        <v>106815.64640039964</v>
      </c>
      <c r="E50" s="27">
        <f>D50/H19/12</f>
        <v>6.089984378194187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36"/>
      <c r="AQ50" s="40"/>
      <c r="AR50" s="40"/>
    </row>
    <row r="51" spans="1:44" ht="38.25">
      <c r="A51" s="6" t="s">
        <v>80</v>
      </c>
      <c r="B51" s="5" t="s">
        <v>25</v>
      </c>
      <c r="C51" s="17" t="s">
        <v>55</v>
      </c>
      <c r="D51" s="29">
        <f>2308000/77549.72*1461.63</f>
        <v>43500.37679052871</v>
      </c>
      <c r="E51" s="27">
        <f>D51/H19/12</f>
        <v>2.4801293071507327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36"/>
      <c r="AQ51" s="40"/>
      <c r="AR51" s="40"/>
    </row>
    <row r="52" spans="1:44" ht="25.5">
      <c r="A52" s="6" t="s">
        <v>81</v>
      </c>
      <c r="B52" s="5" t="s">
        <v>26</v>
      </c>
      <c r="C52" s="13" t="s">
        <v>54</v>
      </c>
      <c r="D52" s="29">
        <f>9000/77549.72*1461.63</f>
        <v>169.62885230275495</v>
      </c>
      <c r="E52" s="27">
        <f>D52/H19/12</f>
        <v>0.009671214802580848</v>
      </c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36"/>
      <c r="AQ52" s="40"/>
      <c r="AR52" s="40"/>
    </row>
    <row r="53" spans="1:44" ht="38.25">
      <c r="A53" s="6" t="s">
        <v>82</v>
      </c>
      <c r="B53" s="5" t="s">
        <v>27</v>
      </c>
      <c r="C53" s="14" t="s">
        <v>54</v>
      </c>
      <c r="D53" s="29">
        <f>1414507/77549.72*1461.63</f>
        <v>26660.133220468113</v>
      </c>
      <c r="E53" s="27">
        <f>D53/H19/12</f>
        <v>1.5200001151949143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36"/>
      <c r="AQ53" s="40"/>
      <c r="AR53" s="40"/>
    </row>
    <row r="54" spans="1:44" ht="25.5">
      <c r="A54" s="6" t="s">
        <v>44</v>
      </c>
      <c r="B54" s="5" t="s">
        <v>28</v>
      </c>
      <c r="C54" s="15" t="s">
        <v>54</v>
      </c>
      <c r="D54" s="46"/>
      <c r="E54" s="27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36"/>
      <c r="AQ54" s="40"/>
      <c r="AR54" s="40"/>
    </row>
    <row r="55" spans="1:44" ht="38.25">
      <c r="A55" s="6" t="s">
        <v>48</v>
      </c>
      <c r="B55" s="5" t="s">
        <v>49</v>
      </c>
      <c r="C55" s="13" t="s">
        <v>52</v>
      </c>
      <c r="D55" s="46"/>
      <c r="E55" s="27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36"/>
      <c r="AQ55" s="40"/>
      <c r="AR55" s="40"/>
    </row>
    <row r="56" spans="1:44" ht="38.25">
      <c r="A56" s="6" t="s">
        <v>50</v>
      </c>
      <c r="B56" s="5" t="s">
        <v>51</v>
      </c>
      <c r="C56" s="13" t="s">
        <v>52</v>
      </c>
      <c r="D56" s="46"/>
      <c r="E56" s="27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36"/>
      <c r="AQ56" s="40"/>
      <c r="AR56" s="40"/>
    </row>
    <row r="57" spans="4:5" ht="15">
      <c r="D57" s="12"/>
      <c r="E57" s="22"/>
    </row>
    <row r="58" spans="4:5" ht="15">
      <c r="D58" s="12"/>
      <c r="E58" s="22"/>
    </row>
    <row r="59" spans="4:5" ht="15">
      <c r="D59" s="12"/>
      <c r="E59" s="22"/>
    </row>
    <row r="60" spans="4:5" ht="15">
      <c r="D60" s="12"/>
      <c r="E60" s="22"/>
    </row>
    <row r="61" spans="4:5" ht="15">
      <c r="D61" s="12"/>
      <c r="E61" s="22"/>
    </row>
    <row r="62" spans="4:5" ht="15">
      <c r="D62" s="12"/>
      <c r="E62" s="22"/>
    </row>
    <row r="63" spans="4:5" ht="15">
      <c r="D63" s="12"/>
      <c r="E63" s="22"/>
    </row>
    <row r="64" spans="4:5" ht="15">
      <c r="D64" s="12"/>
      <c r="E64" s="22"/>
    </row>
    <row r="65" spans="4:5" ht="15">
      <c r="D65" s="12"/>
      <c r="E65" s="22"/>
    </row>
    <row r="66" spans="4:5" ht="15">
      <c r="D66" s="12"/>
      <c r="E66" s="22"/>
    </row>
    <row r="67" spans="4:5" ht="15">
      <c r="D67" s="12"/>
      <c r="E67" s="22"/>
    </row>
    <row r="68" spans="4:5" ht="15">
      <c r="D68" s="12"/>
      <c r="E68" s="22"/>
    </row>
    <row r="69" spans="4:5" ht="15">
      <c r="D69" s="12"/>
      <c r="E69" s="22"/>
    </row>
    <row r="70" spans="4:5" ht="15">
      <c r="D70" s="12"/>
      <c r="E70" s="22"/>
    </row>
    <row r="71" spans="4:5" ht="15">
      <c r="D71" s="12"/>
      <c r="E71" s="22"/>
    </row>
    <row r="72" spans="4:5" ht="15">
      <c r="D72" s="12"/>
      <c r="E72" s="22"/>
    </row>
    <row r="73" spans="4:5" ht="15">
      <c r="D73" s="12"/>
      <c r="E73" s="22"/>
    </row>
    <row r="74" spans="4:5" ht="15">
      <c r="D74" s="12"/>
      <c r="E74" s="22"/>
    </row>
    <row r="75" spans="4:5" ht="15">
      <c r="D75" s="12"/>
      <c r="E75" s="22"/>
    </row>
    <row r="76" spans="4:5" ht="15">
      <c r="D76" s="12"/>
      <c r="E76" s="22"/>
    </row>
    <row r="77" spans="4:5" ht="15">
      <c r="D77" s="12"/>
      <c r="E77" s="22"/>
    </row>
    <row r="78" spans="4:5" ht="15">
      <c r="D78" s="12"/>
      <c r="E78" s="22"/>
    </row>
    <row r="79" spans="4:5" ht="15">
      <c r="D79" s="12"/>
      <c r="E79" s="22"/>
    </row>
    <row r="80" spans="4:5" ht="15">
      <c r="D80" s="12"/>
      <c r="E80" s="22"/>
    </row>
    <row r="81" spans="4:5" ht="15">
      <c r="D81" s="12"/>
      <c r="E81" s="22"/>
    </row>
    <row r="82" spans="4:5" ht="15">
      <c r="D82" s="12"/>
      <c r="E82" s="22"/>
    </row>
    <row r="83" spans="4:5" ht="15">
      <c r="D83" s="12"/>
      <c r="E83" s="22"/>
    </row>
    <row r="84" spans="4:5" ht="15">
      <c r="D84" s="12"/>
      <c r="E84" s="22"/>
    </row>
    <row r="85" spans="4:5" ht="15">
      <c r="D85" s="12"/>
      <c r="E85" s="22"/>
    </row>
    <row r="86" spans="4:5" ht="15">
      <c r="D86" s="12"/>
      <c r="E86" s="22"/>
    </row>
    <row r="87" spans="4:5" ht="15">
      <c r="D87" s="12"/>
      <c r="E87" s="22"/>
    </row>
    <row r="88" spans="4:5" ht="15">
      <c r="D88" s="12"/>
      <c r="E88" s="22"/>
    </row>
    <row r="89" spans="4:5" ht="15">
      <c r="D89" s="12"/>
      <c r="E89" s="22"/>
    </row>
    <row r="90" spans="4:5" ht="15">
      <c r="D90" s="12"/>
      <c r="E90" s="22"/>
    </row>
    <row r="91" spans="4:5" ht="15">
      <c r="D91" s="12"/>
      <c r="E91" s="22"/>
    </row>
    <row r="92" spans="4:5" ht="15">
      <c r="D92" s="12"/>
      <c r="E92" s="22"/>
    </row>
    <row r="93" spans="4:5" ht="15">
      <c r="D93" s="12"/>
      <c r="E93" s="22"/>
    </row>
    <row r="94" spans="4:5" ht="15">
      <c r="D94" s="12"/>
      <c r="E94" s="22"/>
    </row>
    <row r="95" spans="4:5" ht="15">
      <c r="D95" s="12"/>
      <c r="E95" s="22"/>
    </row>
    <row r="96" spans="4:5" ht="15">
      <c r="D96" s="12"/>
      <c r="E96" s="22"/>
    </row>
    <row r="97" spans="4:5" ht="15">
      <c r="D97" s="12"/>
      <c r="E97" s="22"/>
    </row>
    <row r="98" spans="4:5" ht="15">
      <c r="D98" s="12"/>
      <c r="E98" s="22"/>
    </row>
    <row r="99" spans="4:5" ht="15">
      <c r="D99" s="12"/>
      <c r="E99" s="22"/>
    </row>
    <row r="100" spans="4:5" ht="15">
      <c r="D100" s="12"/>
      <c r="E100" s="22"/>
    </row>
    <row r="101" spans="4:5" ht="15">
      <c r="D101" s="12"/>
      <c r="E101" s="22"/>
    </row>
    <row r="102" spans="4:5" ht="15">
      <c r="D102" s="12"/>
      <c r="E102" s="22"/>
    </row>
    <row r="103" spans="4:5" ht="15">
      <c r="D103" s="12"/>
      <c r="E103" s="22"/>
    </row>
    <row r="104" spans="4:5" ht="15">
      <c r="D104" s="12"/>
      <c r="E104" s="22"/>
    </row>
    <row r="105" spans="4:5" ht="15">
      <c r="D105" s="12"/>
      <c r="E105" s="22"/>
    </row>
    <row r="106" spans="4:5" ht="15">
      <c r="D106" s="12"/>
      <c r="E106" s="22"/>
    </row>
    <row r="107" spans="4:5" ht="15">
      <c r="D107" s="12"/>
      <c r="E107" s="22"/>
    </row>
    <row r="108" spans="4:5" ht="15">
      <c r="D108" s="12"/>
      <c r="E108" s="22"/>
    </row>
    <row r="109" spans="4:5" ht="15">
      <c r="D109" s="12"/>
      <c r="E109" s="22"/>
    </row>
    <row r="110" spans="4:5" ht="15">
      <c r="D110" s="12"/>
      <c r="E110" s="22"/>
    </row>
    <row r="111" spans="4:5" ht="15">
      <c r="D111" s="12"/>
      <c r="E111" s="22"/>
    </row>
    <row r="112" spans="4:5" ht="15">
      <c r="D112" s="12"/>
      <c r="E112" s="22"/>
    </row>
    <row r="113" spans="4:5" ht="15">
      <c r="D113" s="12"/>
      <c r="E113" s="22"/>
    </row>
    <row r="114" spans="4:5" ht="15">
      <c r="D114" s="12"/>
      <c r="E114" s="22"/>
    </row>
    <row r="115" spans="4:5" ht="15">
      <c r="D115" s="12"/>
      <c r="E115" s="22"/>
    </row>
    <row r="116" spans="4:5" ht="15">
      <c r="D116" s="12"/>
      <c r="E116" s="22"/>
    </row>
    <row r="117" spans="4:5" ht="15">
      <c r="D117" s="12"/>
      <c r="E117" s="22"/>
    </row>
    <row r="118" spans="4:5" ht="15">
      <c r="D118" s="12"/>
      <c r="E118" s="22"/>
    </row>
    <row r="119" spans="4:5" ht="15">
      <c r="D119" s="12"/>
      <c r="E119" s="22"/>
    </row>
    <row r="120" spans="4:5" ht="15">
      <c r="D120" s="12"/>
      <c r="E120" s="22"/>
    </row>
    <row r="121" spans="4:5" ht="15">
      <c r="D121" s="12"/>
      <c r="E121" s="22"/>
    </row>
    <row r="122" spans="4:5" ht="15">
      <c r="D122" s="12"/>
      <c r="E122" s="22"/>
    </row>
    <row r="123" spans="4:5" ht="15">
      <c r="D123" s="12"/>
      <c r="E123" s="22"/>
    </row>
    <row r="124" spans="4:5" ht="15">
      <c r="D124" s="12"/>
      <c r="E124" s="22"/>
    </row>
    <row r="125" spans="4:5" ht="15">
      <c r="D125" s="12"/>
      <c r="E125" s="22"/>
    </row>
    <row r="126" spans="4:5" ht="15">
      <c r="D126" s="12"/>
      <c r="E126" s="22"/>
    </row>
    <row r="127" spans="4:5" ht="15">
      <c r="D127" s="12"/>
      <c r="E127" s="22"/>
    </row>
    <row r="128" spans="4:5" ht="15">
      <c r="D128" s="12"/>
      <c r="E128" s="22"/>
    </row>
    <row r="129" spans="4:5" ht="15">
      <c r="D129" s="12"/>
      <c r="E129" s="22"/>
    </row>
    <row r="130" spans="4:5" ht="15">
      <c r="D130" s="12"/>
      <c r="E130" s="22"/>
    </row>
  </sheetData>
  <sheetProtection/>
  <mergeCells count="16">
    <mergeCell ref="A14:F14"/>
    <mergeCell ref="A15:F15"/>
    <mergeCell ref="A21:A22"/>
    <mergeCell ref="B21:B22"/>
    <mergeCell ref="D21:D22"/>
    <mergeCell ref="E21:E22"/>
    <mergeCell ref="A16:F16"/>
    <mergeCell ref="A17:F17"/>
    <mergeCell ref="A8:B8"/>
    <mergeCell ref="E8:F8"/>
    <mergeCell ref="A9:B9"/>
    <mergeCell ref="D9:F9"/>
    <mergeCell ref="A10:B10"/>
    <mergeCell ref="D10:F10"/>
    <mergeCell ref="A11:B11"/>
    <mergeCell ref="A12:B12"/>
  </mergeCells>
  <printOptions/>
  <pageMargins left="1.1811023622047245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130"/>
  <sheetViews>
    <sheetView zoomScalePageLayoutView="0" workbookViewId="0" topLeftCell="A8">
      <selection activeCell="A12" sqref="A12:B12"/>
    </sheetView>
  </sheetViews>
  <sheetFormatPr defaultColWidth="9.140625" defaultRowHeight="15"/>
  <cols>
    <col min="1" max="1" width="5.8515625" style="4" customWidth="1"/>
    <col min="2" max="2" width="38.00390625" style="4" customWidth="1"/>
    <col min="3" max="3" width="17.7109375" style="4" hidden="1" customWidth="1"/>
    <col min="4" max="4" width="14.28125" style="4" customWidth="1"/>
    <col min="5" max="5" width="26.28125" style="19" customWidth="1"/>
    <col min="6" max="6" width="10.140625" style="30" customWidth="1"/>
    <col min="7" max="7" width="10.57421875" style="31" customWidth="1"/>
    <col min="8" max="8" width="10.421875" style="31" customWidth="1"/>
    <col min="9" max="9" width="10.00390625" style="31" customWidth="1"/>
    <col min="10" max="10" width="9.8515625" style="31" customWidth="1"/>
    <col min="11" max="11" width="9.28125" style="31" customWidth="1"/>
    <col min="12" max="14" width="9.8515625" style="31" customWidth="1"/>
    <col min="15" max="23" width="9.8515625" style="31" hidden="1" customWidth="1"/>
    <col min="24" max="39" width="9.8515625" style="31" customWidth="1"/>
    <col min="40" max="40" width="11.421875" style="31" customWidth="1"/>
    <col min="41" max="41" width="11.00390625" style="31" customWidth="1"/>
    <col min="42" max="42" width="11.140625" style="31" customWidth="1"/>
    <col min="43" max="44" width="9.140625" style="31" customWidth="1"/>
    <col min="45" max="16384" width="9.140625" style="4" customWidth="1"/>
  </cols>
  <sheetData>
    <row r="1" spans="1:5" ht="15.75" hidden="1">
      <c r="A1" s="1" t="s">
        <v>0</v>
      </c>
      <c r="E1" s="18" t="s">
        <v>9</v>
      </c>
    </row>
    <row r="2" spans="1:5" ht="15.75" hidden="1">
      <c r="A2" s="1" t="s">
        <v>1</v>
      </c>
      <c r="E2" s="18" t="s">
        <v>11</v>
      </c>
    </row>
    <row r="3" spans="1:5" ht="15.75" hidden="1">
      <c r="A3" s="1" t="s">
        <v>2</v>
      </c>
      <c r="E3" s="18" t="s">
        <v>10</v>
      </c>
    </row>
    <row r="4" ht="15.75" hidden="1">
      <c r="A4" s="1" t="s">
        <v>3</v>
      </c>
    </row>
    <row r="5" ht="15" hidden="1"/>
    <row r="6" spans="1:5" ht="93.75" hidden="1">
      <c r="A6" s="2" t="s">
        <v>12</v>
      </c>
      <c r="B6" s="3"/>
      <c r="C6" s="3"/>
      <c r="D6" s="3"/>
      <c r="E6" s="20"/>
    </row>
    <row r="7" spans="1:5" ht="15" hidden="1">
      <c r="A7" s="3" t="s">
        <v>53</v>
      </c>
      <c r="B7" s="3"/>
      <c r="C7" s="3"/>
      <c r="D7" s="3"/>
      <c r="E7" s="21"/>
    </row>
    <row r="8" spans="1:6" ht="15.75" customHeight="1">
      <c r="A8" s="60" t="s">
        <v>0</v>
      </c>
      <c r="B8" s="61"/>
      <c r="C8" s="52"/>
      <c r="D8" s="53"/>
      <c r="E8" s="62" t="s">
        <v>9</v>
      </c>
      <c r="F8" s="63"/>
    </row>
    <row r="9" spans="1:6" ht="15">
      <c r="A9" s="61" t="s">
        <v>83</v>
      </c>
      <c r="B9" s="61"/>
      <c r="C9" s="52"/>
      <c r="D9" s="64" t="s">
        <v>114</v>
      </c>
      <c r="E9" s="63"/>
      <c r="F9" s="63"/>
    </row>
    <row r="10" spans="1:6" ht="15">
      <c r="A10" s="61" t="s">
        <v>84</v>
      </c>
      <c r="B10" s="61"/>
      <c r="C10" s="52"/>
      <c r="D10" s="64" t="s">
        <v>118</v>
      </c>
      <c r="E10" s="63"/>
      <c r="F10" s="63"/>
    </row>
    <row r="11" spans="1:5" ht="15">
      <c r="A11" s="61" t="s">
        <v>2</v>
      </c>
      <c r="B11" s="61"/>
      <c r="C11" s="52"/>
      <c r="D11" s="52"/>
      <c r="E11" s="21"/>
    </row>
    <row r="12" spans="1:5" ht="15" customHeight="1">
      <c r="A12" s="61" t="s">
        <v>143</v>
      </c>
      <c r="B12" s="61"/>
      <c r="C12" s="52"/>
      <c r="D12" s="52"/>
      <c r="E12" s="21"/>
    </row>
    <row r="13" spans="1:5" ht="15">
      <c r="A13" s="54"/>
      <c r="B13" s="54"/>
      <c r="C13" s="52"/>
      <c r="D13" s="52"/>
      <c r="E13" s="21"/>
    </row>
    <row r="14" spans="1:6" ht="15.75">
      <c r="A14" s="67" t="s">
        <v>86</v>
      </c>
      <c r="B14" s="67"/>
      <c r="C14" s="67"/>
      <c r="D14" s="67"/>
      <c r="E14" s="67"/>
      <c r="F14" s="67"/>
    </row>
    <row r="15" spans="1:6" ht="15.75">
      <c r="A15" s="67" t="s">
        <v>87</v>
      </c>
      <c r="B15" s="67"/>
      <c r="C15" s="67"/>
      <c r="D15" s="67"/>
      <c r="E15" s="67"/>
      <c r="F15" s="67"/>
    </row>
    <row r="16" spans="1:6" ht="15.75">
      <c r="A16" s="67" t="s">
        <v>88</v>
      </c>
      <c r="B16" s="67"/>
      <c r="C16" s="67"/>
      <c r="D16" s="67"/>
      <c r="E16" s="67"/>
      <c r="F16" s="67"/>
    </row>
    <row r="17" spans="1:6" ht="15">
      <c r="A17" s="80" t="s">
        <v>95</v>
      </c>
      <c r="B17" s="81"/>
      <c r="C17" s="81"/>
      <c r="D17" s="81"/>
      <c r="E17" s="81"/>
      <c r="F17" s="81"/>
    </row>
    <row r="18" spans="1:5" ht="15">
      <c r="A18" s="3"/>
      <c r="B18" s="3"/>
      <c r="C18" s="3"/>
      <c r="D18" s="3"/>
      <c r="E18" s="55"/>
    </row>
    <row r="19" spans="1:9" ht="28.5">
      <c r="A19" s="10" t="s">
        <v>47</v>
      </c>
      <c r="B19" s="3"/>
      <c r="C19" s="3"/>
      <c r="D19" s="3"/>
      <c r="E19" s="48"/>
      <c r="H19" s="51">
        <v>3796</v>
      </c>
      <c r="I19" s="31">
        <v>77549.72</v>
      </c>
    </row>
    <row r="20" ht="15">
      <c r="D20" s="16"/>
    </row>
    <row r="21" spans="1:42" ht="42" customHeight="1">
      <c r="A21" s="74" t="s">
        <v>8</v>
      </c>
      <c r="B21" s="74" t="s">
        <v>4</v>
      </c>
      <c r="C21" s="28" t="s">
        <v>5</v>
      </c>
      <c r="D21" s="75" t="s">
        <v>6</v>
      </c>
      <c r="E21" s="77" t="s">
        <v>7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3"/>
    </row>
    <row r="22" spans="1:42" ht="14.25" customHeight="1">
      <c r="A22" s="74"/>
      <c r="B22" s="74"/>
      <c r="C22" s="28"/>
      <c r="D22" s="76"/>
      <c r="E22" s="77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6"/>
    </row>
    <row r="23" spans="1:44" s="11" customFormat="1" ht="51">
      <c r="A23" s="23">
        <v>1</v>
      </c>
      <c r="B23" s="24" t="s">
        <v>13</v>
      </c>
      <c r="C23" s="25"/>
      <c r="D23" s="44">
        <f>D24+D25+D54+D55</f>
        <v>1784952.0685825814</v>
      </c>
      <c r="E23" s="50">
        <f>E24+E25+E54+E55</f>
        <v>39.18493301243812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6"/>
      <c r="AQ23" s="38"/>
      <c r="AR23" s="38"/>
    </row>
    <row r="24" spans="1:44" ht="51.75" customHeight="1">
      <c r="A24" s="8">
        <v>2</v>
      </c>
      <c r="B24" s="5" t="s">
        <v>45</v>
      </c>
      <c r="C24" s="13" t="s">
        <v>54</v>
      </c>
      <c r="D24" s="45">
        <f>1905742/77549.72*3796</f>
        <v>93284.62606957188</v>
      </c>
      <c r="E24" s="26">
        <f>D24/H19/12</f>
        <v>2.0478711378111143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6"/>
      <c r="AQ24" s="40"/>
      <c r="AR24" s="40"/>
    </row>
    <row r="25" spans="1:44" ht="25.5">
      <c r="A25" s="8">
        <v>3</v>
      </c>
      <c r="B25" s="5" t="s">
        <v>29</v>
      </c>
      <c r="C25" s="13"/>
      <c r="D25" s="45">
        <f>D26+D27+D28+D29+D30+D31+D32+D33+D34+D35+D36+D37+D38+D39+D40+D41+D42+D43+D44+D45+D46+D47+D48+D49+D50+D51+D52+D53+D54+D55+D56</f>
        <v>1691667.4425130095</v>
      </c>
      <c r="E25" s="26">
        <f>SUM(E26:E56)</f>
        <v>37.13706187462701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0"/>
      <c r="AR25" s="40"/>
    </row>
    <row r="26" spans="1:44" ht="25.5">
      <c r="A26" s="9">
        <v>3.1</v>
      </c>
      <c r="B26" s="5" t="s">
        <v>14</v>
      </c>
      <c r="C26" s="13"/>
      <c r="D26" s="46"/>
      <c r="E26" s="27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6"/>
      <c r="AQ26" s="40"/>
      <c r="AR26" s="40"/>
    </row>
    <row r="27" spans="1:44" ht="24">
      <c r="A27" s="6">
        <v>3.2</v>
      </c>
      <c r="B27" s="5" t="s">
        <v>15</v>
      </c>
      <c r="C27" s="13" t="s">
        <v>57</v>
      </c>
      <c r="D27" s="46">
        <f>353626/77549.72*3796</f>
        <v>17309.72459990829</v>
      </c>
      <c r="E27" s="27">
        <f>D27/H19/12</f>
        <v>0.3799992228641616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36"/>
      <c r="AQ27" s="40"/>
      <c r="AR27" s="40"/>
    </row>
    <row r="28" spans="1:44" ht="25.5">
      <c r="A28" s="9">
        <v>3.3</v>
      </c>
      <c r="B28" s="5" t="s">
        <v>16</v>
      </c>
      <c r="C28" s="13" t="s">
        <v>59</v>
      </c>
      <c r="D28" s="46">
        <f>158201/77549.72*3796</f>
        <v>7743.819010565092</v>
      </c>
      <c r="E28" s="27">
        <f>D28/H19/12</f>
        <v>0.1699995392203436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36"/>
      <c r="AQ28" s="40"/>
      <c r="AR28" s="40"/>
    </row>
    <row r="29" spans="1:44" ht="34.5" customHeight="1">
      <c r="A29" s="6" t="s">
        <v>68</v>
      </c>
      <c r="B29" s="5" t="s">
        <v>17</v>
      </c>
      <c r="C29" s="13" t="s">
        <v>56</v>
      </c>
      <c r="D29" s="46"/>
      <c r="E29" s="27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6"/>
      <c r="AQ29" s="40"/>
      <c r="AR29" s="40"/>
    </row>
    <row r="30" spans="1:44" ht="34.5" customHeight="1">
      <c r="A30" s="6" t="s">
        <v>69</v>
      </c>
      <c r="B30" s="5" t="s">
        <v>70</v>
      </c>
      <c r="C30" s="13"/>
      <c r="D30" s="46"/>
      <c r="E30" s="27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6"/>
      <c r="AQ30" s="40"/>
      <c r="AR30" s="40"/>
    </row>
    <row r="31" spans="1:44" ht="41.25" customHeight="1">
      <c r="A31" s="6" t="s">
        <v>71</v>
      </c>
      <c r="B31" s="5" t="s">
        <v>72</v>
      </c>
      <c r="C31" s="13"/>
      <c r="D31" s="46"/>
      <c r="E31" s="27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6"/>
      <c r="AQ31" s="40"/>
      <c r="AR31" s="40"/>
    </row>
    <row r="32" spans="1:44" ht="25.5">
      <c r="A32" s="9">
        <v>3.7</v>
      </c>
      <c r="B32" s="5" t="s">
        <v>18</v>
      </c>
      <c r="C32" s="13" t="s">
        <v>57</v>
      </c>
      <c r="D32" s="46">
        <f>2345097/77549.72*3796</f>
        <v>114790.7202243928</v>
      </c>
      <c r="E32" s="27">
        <f>D32/H19/12</f>
        <v>2.5199929799875487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36"/>
      <c r="AQ32" s="40"/>
      <c r="AR32" s="40"/>
    </row>
    <row r="33" spans="1:44" ht="25.5">
      <c r="A33" s="6">
        <v>3.8</v>
      </c>
      <c r="B33" s="5" t="s">
        <v>64</v>
      </c>
      <c r="C33" s="13" t="s">
        <v>57</v>
      </c>
      <c r="D33" s="46">
        <f>651416/77549.72*3796</f>
        <v>31886.31933164942</v>
      </c>
      <c r="E33" s="27">
        <f>D33/H19/12</f>
        <v>0.6999982290931116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36"/>
      <c r="AQ33" s="40"/>
      <c r="AR33" s="40"/>
    </row>
    <row r="34" spans="1:44" ht="25.5">
      <c r="A34" s="9">
        <v>3.9</v>
      </c>
      <c r="B34" s="5" t="s">
        <v>19</v>
      </c>
      <c r="C34" s="13" t="s">
        <v>57</v>
      </c>
      <c r="D34" s="46">
        <f>697946/77549.72*3796</f>
        <v>34163.927555122056</v>
      </c>
      <c r="E34" s="27">
        <f>D34/H19/12</f>
        <v>0.7499984096224547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36"/>
      <c r="AQ34" s="40"/>
      <c r="AR34" s="40"/>
    </row>
    <row r="35" spans="1:44" ht="25.5">
      <c r="A35" s="6" t="s">
        <v>30</v>
      </c>
      <c r="B35" s="5" t="s">
        <v>65</v>
      </c>
      <c r="C35" s="13" t="s">
        <v>57</v>
      </c>
      <c r="D35" s="46"/>
      <c r="E35" s="27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36"/>
      <c r="AQ35" s="40"/>
      <c r="AR35" s="40"/>
    </row>
    <row r="36" spans="1:44" ht="25.5">
      <c r="A36" s="6" t="s">
        <v>31</v>
      </c>
      <c r="B36" s="5" t="s">
        <v>66</v>
      </c>
      <c r="C36" s="13"/>
      <c r="D36" s="46"/>
      <c r="E36" s="27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36"/>
      <c r="AQ36" s="40"/>
      <c r="AR36" s="40"/>
    </row>
    <row r="37" spans="1:44" ht="40.5" customHeight="1">
      <c r="A37" s="6" t="s">
        <v>32</v>
      </c>
      <c r="B37" s="5" t="s">
        <v>20</v>
      </c>
      <c r="C37" s="13"/>
      <c r="D37" s="46"/>
      <c r="E37" s="27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36"/>
      <c r="AQ37" s="40"/>
      <c r="AR37" s="40"/>
    </row>
    <row r="38" spans="1:44" ht="51">
      <c r="A38" s="6" t="s">
        <v>33</v>
      </c>
      <c r="B38" s="5" t="s">
        <v>21</v>
      </c>
      <c r="C38" s="13" t="s">
        <v>58</v>
      </c>
      <c r="D38" s="46">
        <f>2373015/77549.72*3796</f>
        <v>116157.28515847638</v>
      </c>
      <c r="E38" s="27">
        <f>D38/H19/12</f>
        <v>2.5499930883051545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36"/>
      <c r="AQ38" s="40"/>
      <c r="AR38" s="40"/>
    </row>
    <row r="39" spans="1:44" ht="33" customHeight="1">
      <c r="A39" s="6" t="s">
        <v>34</v>
      </c>
      <c r="B39" s="5" t="s">
        <v>73</v>
      </c>
      <c r="C39" s="13"/>
      <c r="D39" s="46"/>
      <c r="E39" s="27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36"/>
      <c r="AQ39" s="40"/>
      <c r="AR39" s="40"/>
    </row>
    <row r="40" spans="1:44" ht="41.25" customHeight="1">
      <c r="A40" s="6" t="s">
        <v>35</v>
      </c>
      <c r="B40" s="5" t="s">
        <v>22</v>
      </c>
      <c r="C40" s="13"/>
      <c r="D40" s="46"/>
      <c r="E40" s="27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36"/>
      <c r="AQ40" s="40"/>
      <c r="AR40" s="40"/>
    </row>
    <row r="41" spans="1:44" ht="41.25" customHeight="1">
      <c r="A41" s="6" t="s">
        <v>36</v>
      </c>
      <c r="B41" s="5" t="s">
        <v>74</v>
      </c>
      <c r="C41" s="13"/>
      <c r="D41" s="46"/>
      <c r="E41" s="27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36"/>
      <c r="AQ41" s="40"/>
      <c r="AR41" s="40"/>
    </row>
    <row r="42" spans="1:44" ht="40.5" customHeight="1">
      <c r="A42" s="6" t="s">
        <v>37</v>
      </c>
      <c r="B42" s="5" t="s">
        <v>75</v>
      </c>
      <c r="C42" s="13" t="s">
        <v>54</v>
      </c>
      <c r="D42" s="47">
        <f>2696000/77549.72*3796</f>
        <v>131967.15603873233</v>
      </c>
      <c r="E42" s="27">
        <f>D42/H19/12</f>
        <v>2.8970661230842185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36"/>
      <c r="AQ42" s="40"/>
      <c r="AR42" s="40"/>
    </row>
    <row r="43" spans="1:44" ht="51">
      <c r="A43" s="6" t="s">
        <v>38</v>
      </c>
      <c r="B43" s="5" t="s">
        <v>67</v>
      </c>
      <c r="C43" s="13"/>
      <c r="D43" s="46"/>
      <c r="E43" s="27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36"/>
      <c r="AQ43" s="40"/>
      <c r="AR43" s="40"/>
    </row>
    <row r="44" spans="1:44" ht="40.5" customHeight="1">
      <c r="A44" s="6" t="s">
        <v>39</v>
      </c>
      <c r="B44" s="5" t="s">
        <v>76</v>
      </c>
      <c r="C44" s="13"/>
      <c r="D44" s="46"/>
      <c r="E44" s="27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36"/>
      <c r="AQ44" s="40"/>
      <c r="AR44" s="40"/>
    </row>
    <row r="45" spans="1:44" ht="39" customHeight="1">
      <c r="A45" s="6" t="s">
        <v>40</v>
      </c>
      <c r="B45" s="5" t="s">
        <v>77</v>
      </c>
      <c r="C45" s="13" t="s">
        <v>54</v>
      </c>
      <c r="D45" s="29">
        <f>1448000/77549.72*3796</f>
        <v>70878.50220477907</v>
      </c>
      <c r="E45" s="27">
        <f>D45/H19/12</f>
        <v>1.5559910037930074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36"/>
      <c r="AQ45" s="40"/>
      <c r="AR45" s="40"/>
    </row>
    <row r="46" spans="1:44" ht="39" customHeight="1">
      <c r="A46" s="6" t="s">
        <v>41</v>
      </c>
      <c r="B46" s="5" t="s">
        <v>78</v>
      </c>
      <c r="C46" s="13"/>
      <c r="D46" s="29"/>
      <c r="E46" s="27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36"/>
      <c r="AQ46" s="40"/>
      <c r="AR46" s="40"/>
    </row>
    <row r="47" spans="1:44" ht="25.5">
      <c r="A47" s="6" t="s">
        <v>42</v>
      </c>
      <c r="B47" s="5" t="s">
        <v>62</v>
      </c>
      <c r="C47" s="13" t="s">
        <v>54</v>
      </c>
      <c r="D47" s="46"/>
      <c r="E47" s="27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36"/>
      <c r="AQ47" s="40"/>
      <c r="AR47" s="40"/>
    </row>
    <row r="48" spans="1:44" ht="25.5">
      <c r="A48" s="6" t="s">
        <v>43</v>
      </c>
      <c r="B48" s="7" t="s">
        <v>63</v>
      </c>
      <c r="C48" s="13" t="s">
        <v>54</v>
      </c>
      <c r="D48" s="46">
        <f>13972201/77549.72*3796</f>
        <v>683928.6459835058</v>
      </c>
      <c r="E48" s="27">
        <f>D48/H19/12</f>
        <v>15.014239681759435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36"/>
      <c r="AQ48" s="40"/>
      <c r="AR48" s="40"/>
    </row>
    <row r="49" spans="1:44" ht="25.5">
      <c r="A49" s="6" t="s">
        <v>46</v>
      </c>
      <c r="B49" s="5" t="s">
        <v>23</v>
      </c>
      <c r="C49" s="13" t="s">
        <v>60</v>
      </c>
      <c r="D49" s="46">
        <f>465297/77549.72*3796</f>
        <v>22775.93538700075</v>
      </c>
      <c r="E49" s="27">
        <f>D49/H19/12</f>
        <v>0.49999858155516225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36"/>
      <c r="AQ49" s="40"/>
      <c r="AR49" s="40"/>
    </row>
    <row r="50" spans="1:44" ht="25.5">
      <c r="A50" s="6" t="s">
        <v>79</v>
      </c>
      <c r="B50" s="5" t="s">
        <v>24</v>
      </c>
      <c r="C50" s="13" t="s">
        <v>61</v>
      </c>
      <c r="D50" s="46">
        <f>5667319/77549.72*3796</f>
        <v>277410.9683955016</v>
      </c>
      <c r="E50" s="27">
        <f>D50/H19/12</f>
        <v>6.089984378194187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36"/>
      <c r="AQ50" s="40"/>
      <c r="AR50" s="40"/>
    </row>
    <row r="51" spans="1:44" ht="38.25">
      <c r="A51" s="6" t="s">
        <v>80</v>
      </c>
      <c r="B51" s="5" t="s">
        <v>25</v>
      </c>
      <c r="C51" s="17" t="s">
        <v>55</v>
      </c>
      <c r="D51" s="29">
        <f>2308000/77549.72*3796</f>
        <v>112974.85019933018</v>
      </c>
      <c r="E51" s="27">
        <f>D51/H19/12</f>
        <v>2.4801293071507327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36"/>
      <c r="AQ51" s="40"/>
      <c r="AR51" s="40"/>
    </row>
    <row r="52" spans="1:44" ht="25.5">
      <c r="A52" s="6" t="s">
        <v>81</v>
      </c>
      <c r="B52" s="5" t="s">
        <v>26</v>
      </c>
      <c r="C52" s="13" t="s">
        <v>54</v>
      </c>
      <c r="D52" s="29">
        <f>9000/77549.72*3796</f>
        <v>440.54317668716277</v>
      </c>
      <c r="E52" s="27">
        <f>D52/H19/12</f>
        <v>0.009671214802580848</v>
      </c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36"/>
      <c r="AQ52" s="40"/>
      <c r="AR52" s="40"/>
    </row>
    <row r="53" spans="1:44" ht="38.25">
      <c r="A53" s="6" t="s">
        <v>82</v>
      </c>
      <c r="B53" s="5" t="s">
        <v>27</v>
      </c>
      <c r="C53" s="14" t="s">
        <v>54</v>
      </c>
      <c r="D53" s="29">
        <f>1414507/77549.72*3796</f>
        <v>69239.04524735874</v>
      </c>
      <c r="E53" s="27">
        <f>D53/H19/12</f>
        <v>1.5200001151949143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36"/>
      <c r="AQ53" s="40"/>
      <c r="AR53" s="40"/>
    </row>
    <row r="54" spans="1:44" ht="25.5">
      <c r="A54" s="6" t="s">
        <v>44</v>
      </c>
      <c r="B54" s="5" t="s">
        <v>28</v>
      </c>
      <c r="C54" s="15" t="s">
        <v>54</v>
      </c>
      <c r="D54" s="46"/>
      <c r="E54" s="27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36"/>
      <c r="AQ54" s="40"/>
      <c r="AR54" s="40"/>
    </row>
    <row r="55" spans="1:44" ht="38.25">
      <c r="A55" s="6" t="s">
        <v>48</v>
      </c>
      <c r="B55" s="5" t="s">
        <v>49</v>
      </c>
      <c r="C55" s="13" t="s">
        <v>52</v>
      </c>
      <c r="D55" s="46"/>
      <c r="E55" s="27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36"/>
      <c r="AQ55" s="40"/>
      <c r="AR55" s="40"/>
    </row>
    <row r="56" spans="1:44" ht="38.25">
      <c r="A56" s="6" t="s">
        <v>50</v>
      </c>
      <c r="B56" s="5" t="s">
        <v>51</v>
      </c>
      <c r="C56" s="13" t="s">
        <v>52</v>
      </c>
      <c r="D56" s="46"/>
      <c r="E56" s="27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36"/>
      <c r="AQ56" s="40"/>
      <c r="AR56" s="40"/>
    </row>
    <row r="57" spans="4:5" ht="15">
      <c r="D57" s="12"/>
      <c r="E57" s="22"/>
    </row>
    <row r="58" spans="4:5" ht="15">
      <c r="D58" s="12"/>
      <c r="E58" s="22"/>
    </row>
    <row r="59" spans="4:5" ht="15">
      <c r="D59" s="12"/>
      <c r="E59" s="22"/>
    </row>
    <row r="60" spans="4:5" ht="15">
      <c r="D60" s="12"/>
      <c r="E60" s="22"/>
    </row>
    <row r="61" spans="4:5" ht="15">
      <c r="D61" s="12"/>
      <c r="E61" s="22"/>
    </row>
    <row r="62" spans="4:5" ht="15">
      <c r="D62" s="12"/>
      <c r="E62" s="22"/>
    </row>
    <row r="63" spans="4:5" ht="15">
      <c r="D63" s="12"/>
      <c r="E63" s="22"/>
    </row>
    <row r="64" spans="4:5" ht="15">
      <c r="D64" s="12"/>
      <c r="E64" s="22"/>
    </row>
    <row r="65" spans="4:5" ht="15">
      <c r="D65" s="12"/>
      <c r="E65" s="22"/>
    </row>
    <row r="66" spans="4:5" ht="15">
      <c r="D66" s="12"/>
      <c r="E66" s="22"/>
    </row>
    <row r="67" spans="4:5" ht="15">
      <c r="D67" s="12"/>
      <c r="E67" s="22"/>
    </row>
    <row r="68" spans="4:5" ht="15">
      <c r="D68" s="12"/>
      <c r="E68" s="22"/>
    </row>
    <row r="69" spans="4:5" ht="15">
      <c r="D69" s="12"/>
      <c r="E69" s="22"/>
    </row>
    <row r="70" spans="4:5" ht="15">
      <c r="D70" s="12"/>
      <c r="E70" s="22"/>
    </row>
    <row r="71" spans="4:5" ht="15">
      <c r="D71" s="12"/>
      <c r="E71" s="22"/>
    </row>
    <row r="72" spans="4:5" ht="15">
      <c r="D72" s="12"/>
      <c r="E72" s="22"/>
    </row>
    <row r="73" spans="4:5" ht="15">
      <c r="D73" s="12"/>
      <c r="E73" s="22"/>
    </row>
    <row r="74" spans="4:5" ht="15">
      <c r="D74" s="12"/>
      <c r="E74" s="22"/>
    </row>
    <row r="75" spans="4:5" ht="15">
      <c r="D75" s="12"/>
      <c r="E75" s="22"/>
    </row>
    <row r="76" spans="4:5" ht="15">
      <c r="D76" s="12"/>
      <c r="E76" s="22"/>
    </row>
    <row r="77" spans="4:5" ht="15">
      <c r="D77" s="12"/>
      <c r="E77" s="22"/>
    </row>
    <row r="78" spans="4:5" ht="15">
      <c r="D78" s="12"/>
      <c r="E78" s="22"/>
    </row>
    <row r="79" spans="4:5" ht="15">
      <c r="D79" s="12"/>
      <c r="E79" s="22"/>
    </row>
    <row r="80" spans="4:5" ht="15">
      <c r="D80" s="12"/>
      <c r="E80" s="22"/>
    </row>
    <row r="81" spans="4:5" ht="15">
      <c r="D81" s="12"/>
      <c r="E81" s="22"/>
    </row>
    <row r="82" spans="4:5" ht="15">
      <c r="D82" s="12"/>
      <c r="E82" s="22"/>
    </row>
    <row r="83" spans="4:5" ht="15">
      <c r="D83" s="12"/>
      <c r="E83" s="22"/>
    </row>
    <row r="84" spans="4:5" ht="15">
      <c r="D84" s="12"/>
      <c r="E84" s="22"/>
    </row>
    <row r="85" spans="4:5" ht="15">
      <c r="D85" s="12"/>
      <c r="E85" s="22"/>
    </row>
    <row r="86" spans="4:5" ht="15">
      <c r="D86" s="12"/>
      <c r="E86" s="22"/>
    </row>
    <row r="87" spans="4:5" ht="15">
      <c r="D87" s="12"/>
      <c r="E87" s="22"/>
    </row>
    <row r="88" spans="4:5" ht="15">
      <c r="D88" s="12"/>
      <c r="E88" s="22"/>
    </row>
    <row r="89" spans="4:5" ht="15">
      <c r="D89" s="12"/>
      <c r="E89" s="22"/>
    </row>
    <row r="90" spans="4:5" ht="15">
      <c r="D90" s="12"/>
      <c r="E90" s="22"/>
    </row>
    <row r="91" spans="4:5" ht="15">
      <c r="D91" s="12"/>
      <c r="E91" s="22"/>
    </row>
    <row r="92" spans="4:5" ht="15">
      <c r="D92" s="12"/>
      <c r="E92" s="22"/>
    </row>
    <row r="93" spans="4:5" ht="15">
      <c r="D93" s="12"/>
      <c r="E93" s="22"/>
    </row>
    <row r="94" spans="4:5" ht="15">
      <c r="D94" s="12"/>
      <c r="E94" s="22"/>
    </row>
    <row r="95" spans="4:5" ht="15">
      <c r="D95" s="12"/>
      <c r="E95" s="22"/>
    </row>
    <row r="96" spans="4:5" ht="15">
      <c r="D96" s="12"/>
      <c r="E96" s="22"/>
    </row>
    <row r="97" spans="4:5" ht="15">
      <c r="D97" s="12"/>
      <c r="E97" s="22"/>
    </row>
    <row r="98" spans="4:5" ht="15">
      <c r="D98" s="12"/>
      <c r="E98" s="22"/>
    </row>
    <row r="99" spans="4:5" ht="15">
      <c r="D99" s="12"/>
      <c r="E99" s="22"/>
    </row>
    <row r="100" spans="4:5" ht="15">
      <c r="D100" s="12"/>
      <c r="E100" s="22"/>
    </row>
    <row r="101" spans="4:5" ht="15">
      <c r="D101" s="12"/>
      <c r="E101" s="22"/>
    </row>
    <row r="102" spans="4:5" ht="15">
      <c r="D102" s="12"/>
      <c r="E102" s="22"/>
    </row>
    <row r="103" spans="4:5" ht="15">
      <c r="D103" s="12"/>
      <c r="E103" s="22"/>
    </row>
    <row r="104" spans="4:5" ht="15">
      <c r="D104" s="12"/>
      <c r="E104" s="22"/>
    </row>
    <row r="105" spans="4:5" ht="15">
      <c r="D105" s="12"/>
      <c r="E105" s="22"/>
    </row>
    <row r="106" spans="4:5" ht="15">
      <c r="D106" s="12"/>
      <c r="E106" s="22"/>
    </row>
    <row r="107" spans="4:5" ht="15">
      <c r="D107" s="12"/>
      <c r="E107" s="22"/>
    </row>
    <row r="108" spans="4:5" ht="15">
      <c r="D108" s="12"/>
      <c r="E108" s="22"/>
    </row>
    <row r="109" spans="4:5" ht="15">
      <c r="D109" s="12"/>
      <c r="E109" s="22"/>
    </row>
    <row r="110" spans="4:5" ht="15">
      <c r="D110" s="12"/>
      <c r="E110" s="22"/>
    </row>
    <row r="111" spans="4:5" ht="15">
      <c r="D111" s="12"/>
      <c r="E111" s="22"/>
    </row>
    <row r="112" spans="4:5" ht="15">
      <c r="D112" s="12"/>
      <c r="E112" s="22"/>
    </row>
    <row r="113" spans="4:5" ht="15">
      <c r="D113" s="12"/>
      <c r="E113" s="22"/>
    </row>
    <row r="114" spans="4:5" ht="15">
      <c r="D114" s="12"/>
      <c r="E114" s="22"/>
    </row>
    <row r="115" spans="4:5" ht="15">
      <c r="D115" s="12"/>
      <c r="E115" s="22"/>
    </row>
    <row r="116" spans="4:5" ht="15">
      <c r="D116" s="12"/>
      <c r="E116" s="22"/>
    </row>
    <row r="117" spans="4:5" ht="15">
      <c r="D117" s="12"/>
      <c r="E117" s="22"/>
    </row>
    <row r="118" spans="4:5" ht="15">
      <c r="D118" s="12"/>
      <c r="E118" s="22"/>
    </row>
    <row r="119" spans="4:5" ht="15">
      <c r="D119" s="12"/>
      <c r="E119" s="22"/>
    </row>
    <row r="120" spans="4:5" ht="15">
      <c r="D120" s="12"/>
      <c r="E120" s="22"/>
    </row>
    <row r="121" spans="4:5" ht="15">
      <c r="D121" s="12"/>
      <c r="E121" s="22"/>
    </row>
    <row r="122" spans="4:5" ht="15">
      <c r="D122" s="12"/>
      <c r="E122" s="22"/>
    </row>
    <row r="123" spans="4:5" ht="15">
      <c r="D123" s="12"/>
      <c r="E123" s="22"/>
    </row>
    <row r="124" spans="4:5" ht="15">
      <c r="D124" s="12"/>
      <c r="E124" s="22"/>
    </row>
    <row r="125" spans="4:5" ht="15">
      <c r="D125" s="12"/>
      <c r="E125" s="22"/>
    </row>
    <row r="126" spans="4:5" ht="15">
      <c r="D126" s="12"/>
      <c r="E126" s="22"/>
    </row>
    <row r="127" spans="4:5" ht="15">
      <c r="D127" s="12"/>
      <c r="E127" s="22"/>
    </row>
    <row r="128" spans="4:5" ht="15">
      <c r="D128" s="12"/>
      <c r="E128" s="22"/>
    </row>
    <row r="129" spans="4:5" ht="15">
      <c r="D129" s="12"/>
      <c r="E129" s="22"/>
    </row>
    <row r="130" spans="4:5" ht="15">
      <c r="D130" s="12"/>
      <c r="E130" s="22"/>
    </row>
  </sheetData>
  <sheetProtection/>
  <mergeCells count="16">
    <mergeCell ref="A14:F14"/>
    <mergeCell ref="A15:F15"/>
    <mergeCell ref="A21:A22"/>
    <mergeCell ref="B21:B22"/>
    <mergeCell ref="D21:D22"/>
    <mergeCell ref="E21:E22"/>
    <mergeCell ref="A16:F16"/>
    <mergeCell ref="A17:F17"/>
    <mergeCell ref="A8:B8"/>
    <mergeCell ref="E8:F8"/>
    <mergeCell ref="A9:B9"/>
    <mergeCell ref="D9:F9"/>
    <mergeCell ref="A10:B10"/>
    <mergeCell ref="D10:F10"/>
    <mergeCell ref="A11:B11"/>
    <mergeCell ref="A12:B12"/>
  </mergeCells>
  <printOptions/>
  <pageMargins left="1.1811023622047245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130"/>
  <sheetViews>
    <sheetView zoomScalePageLayoutView="0" workbookViewId="0" topLeftCell="A8">
      <selection activeCell="A12" sqref="A12:B12"/>
    </sheetView>
  </sheetViews>
  <sheetFormatPr defaultColWidth="9.140625" defaultRowHeight="15"/>
  <cols>
    <col min="1" max="1" width="5.8515625" style="4" customWidth="1"/>
    <col min="2" max="2" width="38.00390625" style="4" customWidth="1"/>
    <col min="3" max="3" width="17.7109375" style="4" hidden="1" customWidth="1"/>
    <col min="4" max="4" width="14.28125" style="4" customWidth="1"/>
    <col min="5" max="5" width="26.28125" style="19" customWidth="1"/>
    <col min="6" max="6" width="10.140625" style="30" customWidth="1"/>
    <col min="7" max="7" width="10.57421875" style="31" customWidth="1"/>
    <col min="8" max="8" width="10.421875" style="31" customWidth="1"/>
    <col min="9" max="9" width="10.00390625" style="31" customWidth="1"/>
    <col min="10" max="10" width="9.8515625" style="31" customWidth="1"/>
    <col min="11" max="11" width="9.28125" style="31" customWidth="1"/>
    <col min="12" max="14" width="9.8515625" style="31" customWidth="1"/>
    <col min="15" max="23" width="9.8515625" style="31" hidden="1" customWidth="1"/>
    <col min="24" max="39" width="9.8515625" style="31" customWidth="1"/>
    <col min="40" max="40" width="11.421875" style="31" customWidth="1"/>
    <col min="41" max="41" width="11.00390625" style="31" customWidth="1"/>
    <col min="42" max="42" width="11.140625" style="31" customWidth="1"/>
    <col min="43" max="44" width="9.140625" style="31" customWidth="1"/>
    <col min="45" max="16384" width="9.140625" style="4" customWidth="1"/>
  </cols>
  <sheetData>
    <row r="1" spans="1:5" ht="15.75" hidden="1">
      <c r="A1" s="1" t="s">
        <v>0</v>
      </c>
      <c r="E1" s="18" t="s">
        <v>9</v>
      </c>
    </row>
    <row r="2" spans="1:5" ht="15.75" hidden="1">
      <c r="A2" s="1" t="s">
        <v>1</v>
      </c>
      <c r="E2" s="18" t="s">
        <v>11</v>
      </c>
    </row>
    <row r="3" spans="1:5" ht="15.75" hidden="1">
      <c r="A3" s="1" t="s">
        <v>2</v>
      </c>
      <c r="E3" s="18" t="s">
        <v>10</v>
      </c>
    </row>
    <row r="4" ht="15.75" hidden="1">
      <c r="A4" s="1" t="s">
        <v>3</v>
      </c>
    </row>
    <row r="5" ht="15" hidden="1"/>
    <row r="6" spans="1:5" ht="93.75" hidden="1">
      <c r="A6" s="2" t="s">
        <v>12</v>
      </c>
      <c r="B6" s="3"/>
      <c r="C6" s="3"/>
      <c r="D6" s="3"/>
      <c r="E6" s="20"/>
    </row>
    <row r="7" spans="1:5" ht="15" hidden="1">
      <c r="A7" s="3" t="s">
        <v>53</v>
      </c>
      <c r="B7" s="3"/>
      <c r="C7" s="3"/>
      <c r="D7" s="3"/>
      <c r="E7" s="21"/>
    </row>
    <row r="8" spans="1:6" ht="15.75" customHeight="1">
      <c r="A8" s="60" t="s">
        <v>0</v>
      </c>
      <c r="B8" s="61"/>
      <c r="C8" s="52"/>
      <c r="D8" s="53"/>
      <c r="E8" s="62" t="s">
        <v>9</v>
      </c>
      <c r="F8" s="63"/>
    </row>
    <row r="9" spans="1:6" ht="15">
      <c r="A9" s="61" t="s">
        <v>83</v>
      </c>
      <c r="B9" s="61"/>
      <c r="C9" s="52"/>
      <c r="D9" s="64" t="s">
        <v>114</v>
      </c>
      <c r="E9" s="63"/>
      <c r="F9" s="63"/>
    </row>
    <row r="10" spans="1:6" ht="15">
      <c r="A10" s="61" t="s">
        <v>84</v>
      </c>
      <c r="B10" s="61"/>
      <c r="C10" s="52"/>
      <c r="D10" s="64" t="s">
        <v>118</v>
      </c>
      <c r="E10" s="63"/>
      <c r="F10" s="63"/>
    </row>
    <row r="11" spans="1:5" ht="15">
      <c r="A11" s="61" t="s">
        <v>2</v>
      </c>
      <c r="B11" s="61"/>
      <c r="C11" s="52"/>
      <c r="D11" s="52"/>
      <c r="E11" s="21"/>
    </row>
    <row r="12" spans="1:5" ht="15" customHeight="1">
      <c r="A12" s="61" t="s">
        <v>144</v>
      </c>
      <c r="B12" s="61"/>
      <c r="C12" s="52"/>
      <c r="D12" s="52"/>
      <c r="E12" s="21"/>
    </row>
    <row r="13" spans="1:5" ht="15">
      <c r="A13" s="54"/>
      <c r="B13" s="54"/>
      <c r="C13" s="52"/>
      <c r="D13" s="52"/>
      <c r="E13" s="21"/>
    </row>
    <row r="14" spans="1:6" ht="15.75">
      <c r="A14" s="67" t="s">
        <v>86</v>
      </c>
      <c r="B14" s="67"/>
      <c r="C14" s="67"/>
      <c r="D14" s="67"/>
      <c r="E14" s="67"/>
      <c r="F14" s="67"/>
    </row>
    <row r="15" spans="1:6" ht="15.75">
      <c r="A15" s="67" t="s">
        <v>87</v>
      </c>
      <c r="B15" s="67"/>
      <c r="C15" s="67"/>
      <c r="D15" s="67"/>
      <c r="E15" s="67"/>
      <c r="F15" s="67"/>
    </row>
    <row r="16" spans="1:6" ht="15.75">
      <c r="A16" s="67" t="s">
        <v>88</v>
      </c>
      <c r="B16" s="67"/>
      <c r="C16" s="67"/>
      <c r="D16" s="67"/>
      <c r="E16" s="67"/>
      <c r="F16" s="67"/>
    </row>
    <row r="17" spans="1:6" ht="15">
      <c r="A17" s="80" t="s">
        <v>96</v>
      </c>
      <c r="B17" s="81"/>
      <c r="C17" s="81"/>
      <c r="D17" s="81"/>
      <c r="E17" s="81"/>
      <c r="F17" s="81"/>
    </row>
    <row r="18" spans="1:5" ht="15">
      <c r="A18" s="3"/>
      <c r="B18" s="3"/>
      <c r="C18" s="3"/>
      <c r="D18" s="3"/>
      <c r="E18" s="55"/>
    </row>
    <row r="19" spans="1:9" ht="28.5">
      <c r="A19" s="10" t="s">
        <v>47</v>
      </c>
      <c r="B19" s="3"/>
      <c r="C19" s="3"/>
      <c r="D19" s="3"/>
      <c r="E19" s="48"/>
      <c r="H19" s="51">
        <v>3677.3</v>
      </c>
      <c r="I19" s="31">
        <v>77549.72</v>
      </c>
    </row>
    <row r="20" ht="15">
      <c r="D20" s="16"/>
    </row>
    <row r="21" spans="1:42" ht="42" customHeight="1">
      <c r="A21" s="74" t="s">
        <v>8</v>
      </c>
      <c r="B21" s="74" t="s">
        <v>4</v>
      </c>
      <c r="C21" s="28" t="s">
        <v>5</v>
      </c>
      <c r="D21" s="75" t="s">
        <v>6</v>
      </c>
      <c r="E21" s="77" t="s">
        <v>7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3"/>
    </row>
    <row r="22" spans="1:42" ht="14.25" customHeight="1">
      <c r="A22" s="74"/>
      <c r="B22" s="74"/>
      <c r="C22" s="28"/>
      <c r="D22" s="76"/>
      <c r="E22" s="77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6"/>
    </row>
    <row r="23" spans="1:44" s="11" customFormat="1" ht="51">
      <c r="A23" s="23">
        <v>1</v>
      </c>
      <c r="B23" s="24" t="s">
        <v>13</v>
      </c>
      <c r="C23" s="25"/>
      <c r="D23" s="44">
        <f>D24+D25+D54+D55</f>
        <v>1729137.0499996645</v>
      </c>
      <c r="E23" s="50">
        <f>E24+E25+E54+E55</f>
        <v>39.18493301243812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6"/>
      <c r="AQ23" s="38"/>
      <c r="AR23" s="38"/>
    </row>
    <row r="24" spans="1:44" ht="51.75" customHeight="1">
      <c r="A24" s="8">
        <v>2</v>
      </c>
      <c r="B24" s="5" t="s">
        <v>45</v>
      </c>
      <c r="C24" s="13" t="s">
        <v>54</v>
      </c>
      <c r="D24" s="45">
        <f>1905742/77549.72*3677.3</f>
        <v>90367.63842087373</v>
      </c>
      <c r="E24" s="26">
        <f>D24/H19/12</f>
        <v>2.0478711378111143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6"/>
      <c r="AQ24" s="40"/>
      <c r="AR24" s="40"/>
    </row>
    <row r="25" spans="1:44" ht="25.5">
      <c r="A25" s="8">
        <v>3</v>
      </c>
      <c r="B25" s="5" t="s">
        <v>29</v>
      </c>
      <c r="C25" s="13"/>
      <c r="D25" s="45">
        <f>D26+D27+D28+D29+D30+D31+D32+D33+D34+D35+D36+D37+D38+D39+D40+D41+D42+D43+D44+D45+D46+D47+D48+D49+D50+D51+D52+D53+D54+D55+D56</f>
        <v>1638769.4115787908</v>
      </c>
      <c r="E25" s="26">
        <f>SUM(E26:E56)</f>
        <v>37.13706187462701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0"/>
      <c r="AR25" s="40"/>
    </row>
    <row r="26" spans="1:44" ht="25.5">
      <c r="A26" s="9">
        <v>3.1</v>
      </c>
      <c r="B26" s="5" t="s">
        <v>14</v>
      </c>
      <c r="C26" s="13"/>
      <c r="D26" s="46"/>
      <c r="E26" s="27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36"/>
      <c r="AQ26" s="40"/>
      <c r="AR26" s="40"/>
    </row>
    <row r="27" spans="1:44" ht="24">
      <c r="A27" s="6">
        <v>3.2</v>
      </c>
      <c r="B27" s="5" t="s">
        <v>15</v>
      </c>
      <c r="C27" s="13" t="s">
        <v>57</v>
      </c>
      <c r="D27" s="46">
        <f>353626/77549.72*3677.3</f>
        <v>16768.45370686058</v>
      </c>
      <c r="E27" s="27">
        <f>D27/H19/12</f>
        <v>0.3799992228641616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36"/>
      <c r="AQ27" s="40"/>
      <c r="AR27" s="40"/>
    </row>
    <row r="28" spans="1:44" ht="25.5">
      <c r="A28" s="9">
        <v>3.3</v>
      </c>
      <c r="B28" s="5" t="s">
        <v>16</v>
      </c>
      <c r="C28" s="13" t="s">
        <v>59</v>
      </c>
      <c r="D28" s="46">
        <f>158201/77549.72*3677.3</f>
        <v>7501.671666899635</v>
      </c>
      <c r="E28" s="27">
        <f>D28/H19/12</f>
        <v>0.1699995392203436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36"/>
      <c r="AQ28" s="40"/>
      <c r="AR28" s="40"/>
    </row>
    <row r="29" spans="1:44" ht="34.5" customHeight="1">
      <c r="A29" s="6" t="s">
        <v>68</v>
      </c>
      <c r="B29" s="5" t="s">
        <v>17</v>
      </c>
      <c r="C29" s="13" t="s">
        <v>56</v>
      </c>
      <c r="D29" s="46"/>
      <c r="E29" s="27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36"/>
      <c r="AQ29" s="40"/>
      <c r="AR29" s="40"/>
    </row>
    <row r="30" spans="1:44" ht="34.5" customHeight="1">
      <c r="A30" s="6" t="s">
        <v>69</v>
      </c>
      <c r="B30" s="5" t="s">
        <v>70</v>
      </c>
      <c r="C30" s="13"/>
      <c r="D30" s="46"/>
      <c r="E30" s="27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6"/>
      <c r="AQ30" s="40"/>
      <c r="AR30" s="40"/>
    </row>
    <row r="31" spans="1:44" ht="41.25" customHeight="1">
      <c r="A31" s="6" t="s">
        <v>71</v>
      </c>
      <c r="B31" s="5" t="s">
        <v>72</v>
      </c>
      <c r="C31" s="13"/>
      <c r="D31" s="46"/>
      <c r="E31" s="27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6"/>
      <c r="AQ31" s="40"/>
      <c r="AR31" s="40"/>
    </row>
    <row r="32" spans="1:44" ht="25.5">
      <c r="A32" s="9">
        <v>3.7</v>
      </c>
      <c r="B32" s="5" t="s">
        <v>18</v>
      </c>
      <c r="C32" s="13" t="s">
        <v>57</v>
      </c>
      <c r="D32" s="46">
        <f>2345097/77549.72*3677.3</f>
        <v>111201.24222369856</v>
      </c>
      <c r="E32" s="27">
        <f>D32/H19/12</f>
        <v>2.5199929799875487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36"/>
      <c r="AQ32" s="40"/>
      <c r="AR32" s="40"/>
    </row>
    <row r="33" spans="1:44" ht="25.5">
      <c r="A33" s="6">
        <v>3.8</v>
      </c>
      <c r="B33" s="5" t="s">
        <v>64</v>
      </c>
      <c r="C33" s="13" t="s">
        <v>57</v>
      </c>
      <c r="D33" s="46">
        <f>651416/77549.72*3677.3</f>
        <v>30889.241854129195</v>
      </c>
      <c r="E33" s="27">
        <f>D33/H19/12</f>
        <v>0.6999982290931116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36"/>
      <c r="AQ33" s="40"/>
      <c r="AR33" s="40"/>
    </row>
    <row r="34" spans="1:44" ht="25.5">
      <c r="A34" s="9">
        <v>3.9</v>
      </c>
      <c r="B34" s="5" t="s">
        <v>19</v>
      </c>
      <c r="C34" s="13" t="s">
        <v>57</v>
      </c>
      <c r="D34" s="46">
        <f>697946/77549.72*3677.3</f>
        <v>33095.62982045583</v>
      </c>
      <c r="E34" s="27">
        <f>D34/H19/12</f>
        <v>0.7499984096224547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36"/>
      <c r="AQ34" s="40"/>
      <c r="AR34" s="40"/>
    </row>
    <row r="35" spans="1:44" ht="25.5">
      <c r="A35" s="6" t="s">
        <v>30</v>
      </c>
      <c r="B35" s="5" t="s">
        <v>65</v>
      </c>
      <c r="C35" s="13" t="s">
        <v>57</v>
      </c>
      <c r="D35" s="46"/>
      <c r="E35" s="27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36"/>
      <c r="AQ35" s="40"/>
      <c r="AR35" s="40"/>
    </row>
    <row r="36" spans="1:44" ht="25.5">
      <c r="A36" s="6" t="s">
        <v>31</v>
      </c>
      <c r="B36" s="5" t="s">
        <v>66</v>
      </c>
      <c r="C36" s="13"/>
      <c r="D36" s="46"/>
      <c r="E36" s="27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36"/>
      <c r="AQ36" s="40"/>
      <c r="AR36" s="40"/>
    </row>
    <row r="37" spans="1:44" ht="40.5" customHeight="1">
      <c r="A37" s="6" t="s">
        <v>32</v>
      </c>
      <c r="B37" s="5" t="s">
        <v>20</v>
      </c>
      <c r="C37" s="13"/>
      <c r="D37" s="46"/>
      <c r="E37" s="27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36"/>
      <c r="AQ37" s="40"/>
      <c r="AR37" s="40"/>
    </row>
    <row r="38" spans="1:44" ht="51">
      <c r="A38" s="6" t="s">
        <v>33</v>
      </c>
      <c r="B38" s="5" t="s">
        <v>21</v>
      </c>
      <c r="C38" s="13" t="s">
        <v>58</v>
      </c>
      <c r="D38" s="46">
        <f>2373015/77549.72*3677.3</f>
        <v>112525.07500349454</v>
      </c>
      <c r="E38" s="27">
        <f>D38/H19/12</f>
        <v>2.5499930883051545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36"/>
      <c r="AQ38" s="40"/>
      <c r="AR38" s="40"/>
    </row>
    <row r="39" spans="1:44" ht="33" customHeight="1">
      <c r="A39" s="6" t="s">
        <v>34</v>
      </c>
      <c r="B39" s="5" t="s">
        <v>73</v>
      </c>
      <c r="C39" s="13"/>
      <c r="D39" s="46"/>
      <c r="E39" s="27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36"/>
      <c r="AQ39" s="40"/>
      <c r="AR39" s="40"/>
    </row>
    <row r="40" spans="1:44" ht="41.25" customHeight="1">
      <c r="A40" s="6" t="s">
        <v>35</v>
      </c>
      <c r="B40" s="5" t="s">
        <v>22</v>
      </c>
      <c r="C40" s="13"/>
      <c r="D40" s="46"/>
      <c r="E40" s="27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36"/>
      <c r="AQ40" s="40"/>
      <c r="AR40" s="40"/>
    </row>
    <row r="41" spans="1:44" ht="41.25" customHeight="1">
      <c r="A41" s="6" t="s">
        <v>36</v>
      </c>
      <c r="B41" s="5" t="s">
        <v>74</v>
      </c>
      <c r="C41" s="13"/>
      <c r="D41" s="46"/>
      <c r="E41" s="27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36"/>
      <c r="AQ41" s="40"/>
      <c r="AR41" s="40"/>
    </row>
    <row r="42" spans="1:44" ht="40.5" customHeight="1">
      <c r="A42" s="6" t="s">
        <v>37</v>
      </c>
      <c r="B42" s="5" t="s">
        <v>75</v>
      </c>
      <c r="C42" s="13" t="s">
        <v>54</v>
      </c>
      <c r="D42" s="47">
        <f>2696000/77549.72*3677.3</f>
        <v>127840.57505301115</v>
      </c>
      <c r="E42" s="27">
        <f>D42/H19/12</f>
        <v>2.8970661230842185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36"/>
      <c r="AQ42" s="40"/>
      <c r="AR42" s="40"/>
    </row>
    <row r="43" spans="1:44" ht="51">
      <c r="A43" s="6" t="s">
        <v>38</v>
      </c>
      <c r="B43" s="5" t="s">
        <v>67</v>
      </c>
      <c r="C43" s="13"/>
      <c r="D43" s="46"/>
      <c r="E43" s="27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36"/>
      <c r="AQ43" s="40"/>
      <c r="AR43" s="40"/>
    </row>
    <row r="44" spans="1:44" ht="40.5" customHeight="1">
      <c r="A44" s="6" t="s">
        <v>39</v>
      </c>
      <c r="B44" s="5" t="s">
        <v>76</v>
      </c>
      <c r="C44" s="13"/>
      <c r="D44" s="46"/>
      <c r="E44" s="27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36"/>
      <c r="AQ44" s="40"/>
      <c r="AR44" s="40"/>
    </row>
    <row r="45" spans="1:44" ht="39" customHeight="1">
      <c r="A45" s="6" t="s">
        <v>40</v>
      </c>
      <c r="B45" s="5" t="s">
        <v>77</v>
      </c>
      <c r="C45" s="13" t="s">
        <v>54</v>
      </c>
      <c r="D45" s="29">
        <f>1448000/77549.72*3677.3</f>
        <v>68662.14861897631</v>
      </c>
      <c r="E45" s="27">
        <f>D45/H19/12</f>
        <v>1.5559910037930074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36"/>
      <c r="AQ45" s="40"/>
      <c r="AR45" s="40"/>
    </row>
    <row r="46" spans="1:44" ht="39" customHeight="1">
      <c r="A46" s="6" t="s">
        <v>41</v>
      </c>
      <c r="B46" s="5" t="s">
        <v>78</v>
      </c>
      <c r="C46" s="13"/>
      <c r="D46" s="29"/>
      <c r="E46" s="27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36"/>
      <c r="AQ46" s="40"/>
      <c r="AR46" s="40"/>
    </row>
    <row r="47" spans="1:44" ht="25.5">
      <c r="A47" s="6" t="s">
        <v>42</v>
      </c>
      <c r="B47" s="5" t="s">
        <v>62</v>
      </c>
      <c r="C47" s="13" t="s">
        <v>54</v>
      </c>
      <c r="D47" s="46"/>
      <c r="E47" s="27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36"/>
      <c r="AQ47" s="40"/>
      <c r="AR47" s="40"/>
    </row>
    <row r="48" spans="1:44" ht="25.5">
      <c r="A48" s="6" t="s">
        <v>43</v>
      </c>
      <c r="B48" s="7" t="s">
        <v>63</v>
      </c>
      <c r="C48" s="13" t="s">
        <v>54</v>
      </c>
      <c r="D48" s="46">
        <f>13972201/77549.72*3677.3</f>
        <v>662542.3629808077</v>
      </c>
      <c r="E48" s="27">
        <f>D48/H19/12</f>
        <v>15.014239681759435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36"/>
      <c r="AQ48" s="40"/>
      <c r="AR48" s="40"/>
    </row>
    <row r="49" spans="1:44" ht="25.5">
      <c r="A49" s="6" t="s">
        <v>46</v>
      </c>
      <c r="B49" s="5" t="s">
        <v>23</v>
      </c>
      <c r="C49" s="13" t="s">
        <v>60</v>
      </c>
      <c r="D49" s="46">
        <f>465297/77549.72*3677.3</f>
        <v>22063.73740743358</v>
      </c>
      <c r="E49" s="27">
        <f>D49/H19/12</f>
        <v>0.49999858155516225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36"/>
      <c r="AQ49" s="40"/>
      <c r="AR49" s="40"/>
    </row>
    <row r="50" spans="1:44" ht="25.5">
      <c r="A50" s="6" t="s">
        <v>79</v>
      </c>
      <c r="B50" s="5" t="s">
        <v>24</v>
      </c>
      <c r="C50" s="13" t="s">
        <v>61</v>
      </c>
      <c r="D50" s="46">
        <f>5667319/77549.72*3677.3</f>
        <v>268736.3946472018</v>
      </c>
      <c r="E50" s="27">
        <f>D50/H19/12</f>
        <v>6.089984378194187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36"/>
      <c r="AQ50" s="40"/>
      <c r="AR50" s="40"/>
    </row>
    <row r="51" spans="1:44" ht="38.25">
      <c r="A51" s="6" t="s">
        <v>80</v>
      </c>
      <c r="B51" s="5" t="s">
        <v>25</v>
      </c>
      <c r="C51" s="17" t="s">
        <v>55</v>
      </c>
      <c r="D51" s="29">
        <f>2308000/77549.72*3677.3</f>
        <v>109442.15401422468</v>
      </c>
      <c r="E51" s="27">
        <f>D51/H19/12</f>
        <v>2.4801293071507327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36"/>
      <c r="AQ51" s="40"/>
      <c r="AR51" s="40"/>
    </row>
    <row r="52" spans="1:44" ht="25.5">
      <c r="A52" s="6" t="s">
        <v>81</v>
      </c>
      <c r="B52" s="5" t="s">
        <v>26</v>
      </c>
      <c r="C52" s="13" t="s">
        <v>54</v>
      </c>
      <c r="D52" s="29">
        <f>9000/77549.72*3677.3</f>
        <v>426.76749832236663</v>
      </c>
      <c r="E52" s="27">
        <f>D52/H19/12</f>
        <v>0.009671214802580848</v>
      </c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36"/>
      <c r="AQ52" s="40"/>
      <c r="AR52" s="40"/>
    </row>
    <row r="53" spans="1:44" ht="38.25">
      <c r="A53" s="6" t="s">
        <v>82</v>
      </c>
      <c r="B53" s="5" t="s">
        <v>27</v>
      </c>
      <c r="C53" s="14" t="s">
        <v>54</v>
      </c>
      <c r="D53" s="29">
        <f>1414507/77549.72*3677.3</f>
        <v>67073.9570832751</v>
      </c>
      <c r="E53" s="27">
        <f>D53/H19/12</f>
        <v>1.5200001151949143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36"/>
      <c r="AQ53" s="40"/>
      <c r="AR53" s="40"/>
    </row>
    <row r="54" spans="1:44" ht="25.5">
      <c r="A54" s="6" t="s">
        <v>44</v>
      </c>
      <c r="B54" s="5" t="s">
        <v>28</v>
      </c>
      <c r="C54" s="15" t="s">
        <v>54</v>
      </c>
      <c r="D54" s="46"/>
      <c r="E54" s="27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36"/>
      <c r="AQ54" s="40"/>
      <c r="AR54" s="40"/>
    </row>
    <row r="55" spans="1:44" ht="38.25">
      <c r="A55" s="6" t="s">
        <v>48</v>
      </c>
      <c r="B55" s="5" t="s">
        <v>49</v>
      </c>
      <c r="C55" s="13" t="s">
        <v>52</v>
      </c>
      <c r="D55" s="46"/>
      <c r="E55" s="27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36"/>
      <c r="AQ55" s="40"/>
      <c r="AR55" s="40"/>
    </row>
    <row r="56" spans="1:44" ht="38.25">
      <c r="A56" s="6" t="s">
        <v>50</v>
      </c>
      <c r="B56" s="5" t="s">
        <v>51</v>
      </c>
      <c r="C56" s="13" t="s">
        <v>52</v>
      </c>
      <c r="D56" s="46"/>
      <c r="E56" s="27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36"/>
      <c r="AQ56" s="40"/>
      <c r="AR56" s="40"/>
    </row>
    <row r="57" spans="4:5" ht="15">
      <c r="D57" s="12"/>
      <c r="E57" s="22"/>
    </row>
    <row r="58" spans="4:5" ht="15">
      <c r="D58" s="12"/>
      <c r="E58" s="22"/>
    </row>
    <row r="59" spans="4:5" ht="15">
      <c r="D59" s="12"/>
      <c r="E59" s="22"/>
    </row>
    <row r="60" spans="4:5" ht="15">
      <c r="D60" s="12"/>
      <c r="E60" s="22"/>
    </row>
    <row r="61" spans="4:5" ht="15">
      <c r="D61" s="12"/>
      <c r="E61" s="22"/>
    </row>
    <row r="62" spans="4:5" ht="15">
      <c r="D62" s="12"/>
      <c r="E62" s="22"/>
    </row>
    <row r="63" spans="4:5" ht="15">
      <c r="D63" s="12"/>
      <c r="E63" s="22"/>
    </row>
    <row r="64" spans="4:5" ht="15">
      <c r="D64" s="12"/>
      <c r="E64" s="22"/>
    </row>
    <row r="65" spans="4:5" ht="15">
      <c r="D65" s="12"/>
      <c r="E65" s="22"/>
    </row>
    <row r="66" spans="4:5" ht="15">
      <c r="D66" s="12"/>
      <c r="E66" s="22"/>
    </row>
    <row r="67" spans="4:5" ht="15">
      <c r="D67" s="12"/>
      <c r="E67" s="22"/>
    </row>
    <row r="68" spans="4:5" ht="15">
      <c r="D68" s="12"/>
      <c r="E68" s="22"/>
    </row>
    <row r="69" spans="4:5" ht="15">
      <c r="D69" s="12"/>
      <c r="E69" s="22"/>
    </row>
    <row r="70" spans="4:5" ht="15">
      <c r="D70" s="12"/>
      <c r="E70" s="22"/>
    </row>
    <row r="71" spans="4:5" ht="15">
      <c r="D71" s="12"/>
      <c r="E71" s="22"/>
    </row>
    <row r="72" spans="4:5" ht="15">
      <c r="D72" s="12"/>
      <c r="E72" s="22"/>
    </row>
    <row r="73" spans="4:5" ht="15">
      <c r="D73" s="12"/>
      <c r="E73" s="22"/>
    </row>
    <row r="74" spans="4:5" ht="15">
      <c r="D74" s="12"/>
      <c r="E74" s="22"/>
    </row>
    <row r="75" spans="4:5" ht="15">
      <c r="D75" s="12"/>
      <c r="E75" s="22"/>
    </row>
    <row r="76" spans="4:5" ht="15">
      <c r="D76" s="12"/>
      <c r="E76" s="22"/>
    </row>
    <row r="77" spans="4:5" ht="15">
      <c r="D77" s="12"/>
      <c r="E77" s="22"/>
    </row>
    <row r="78" spans="4:5" ht="15">
      <c r="D78" s="12"/>
      <c r="E78" s="22"/>
    </row>
    <row r="79" spans="4:5" ht="15">
      <c r="D79" s="12"/>
      <c r="E79" s="22"/>
    </row>
    <row r="80" spans="4:5" ht="15">
      <c r="D80" s="12"/>
      <c r="E80" s="22"/>
    </row>
    <row r="81" spans="4:5" ht="15">
      <c r="D81" s="12"/>
      <c r="E81" s="22"/>
    </row>
    <row r="82" spans="4:5" ht="15">
      <c r="D82" s="12"/>
      <c r="E82" s="22"/>
    </row>
    <row r="83" spans="4:5" ht="15">
      <c r="D83" s="12"/>
      <c r="E83" s="22"/>
    </row>
    <row r="84" spans="4:5" ht="15">
      <c r="D84" s="12"/>
      <c r="E84" s="22"/>
    </row>
    <row r="85" spans="4:5" ht="15">
      <c r="D85" s="12"/>
      <c r="E85" s="22"/>
    </row>
    <row r="86" spans="4:5" ht="15">
      <c r="D86" s="12"/>
      <c r="E86" s="22"/>
    </row>
    <row r="87" spans="4:5" ht="15">
      <c r="D87" s="12"/>
      <c r="E87" s="22"/>
    </row>
    <row r="88" spans="4:5" ht="15">
      <c r="D88" s="12"/>
      <c r="E88" s="22"/>
    </row>
    <row r="89" spans="4:5" ht="15">
      <c r="D89" s="12"/>
      <c r="E89" s="22"/>
    </row>
    <row r="90" spans="4:5" ht="15">
      <c r="D90" s="12"/>
      <c r="E90" s="22"/>
    </row>
    <row r="91" spans="4:5" ht="15">
      <c r="D91" s="12"/>
      <c r="E91" s="22"/>
    </row>
    <row r="92" spans="4:5" ht="15">
      <c r="D92" s="12"/>
      <c r="E92" s="22"/>
    </row>
    <row r="93" spans="4:5" ht="15">
      <c r="D93" s="12"/>
      <c r="E93" s="22"/>
    </row>
    <row r="94" spans="4:5" ht="15">
      <c r="D94" s="12"/>
      <c r="E94" s="22"/>
    </row>
    <row r="95" spans="4:5" ht="15">
      <c r="D95" s="12"/>
      <c r="E95" s="22"/>
    </row>
    <row r="96" spans="4:5" ht="15">
      <c r="D96" s="12"/>
      <c r="E96" s="22"/>
    </row>
    <row r="97" spans="4:5" ht="15">
      <c r="D97" s="12"/>
      <c r="E97" s="22"/>
    </row>
    <row r="98" spans="4:5" ht="15">
      <c r="D98" s="12"/>
      <c r="E98" s="22"/>
    </row>
    <row r="99" spans="4:5" ht="15">
      <c r="D99" s="12"/>
      <c r="E99" s="22"/>
    </row>
    <row r="100" spans="4:5" ht="15">
      <c r="D100" s="12"/>
      <c r="E100" s="22"/>
    </row>
    <row r="101" spans="4:5" ht="15">
      <c r="D101" s="12"/>
      <c r="E101" s="22"/>
    </row>
    <row r="102" spans="4:5" ht="15">
      <c r="D102" s="12"/>
      <c r="E102" s="22"/>
    </row>
    <row r="103" spans="4:5" ht="15">
      <c r="D103" s="12"/>
      <c r="E103" s="22"/>
    </row>
    <row r="104" spans="4:5" ht="15">
      <c r="D104" s="12"/>
      <c r="E104" s="22"/>
    </row>
    <row r="105" spans="4:5" ht="15">
      <c r="D105" s="12"/>
      <c r="E105" s="22"/>
    </row>
    <row r="106" spans="4:5" ht="15">
      <c r="D106" s="12"/>
      <c r="E106" s="22"/>
    </row>
    <row r="107" spans="4:5" ht="15">
      <c r="D107" s="12"/>
      <c r="E107" s="22"/>
    </row>
    <row r="108" spans="4:5" ht="15">
      <c r="D108" s="12"/>
      <c r="E108" s="22"/>
    </row>
    <row r="109" spans="4:5" ht="15">
      <c r="D109" s="12"/>
      <c r="E109" s="22"/>
    </row>
    <row r="110" spans="4:5" ht="15">
      <c r="D110" s="12"/>
      <c r="E110" s="22"/>
    </row>
    <row r="111" spans="4:5" ht="15">
      <c r="D111" s="12"/>
      <c r="E111" s="22"/>
    </row>
    <row r="112" spans="4:5" ht="15">
      <c r="D112" s="12"/>
      <c r="E112" s="22"/>
    </row>
    <row r="113" spans="4:5" ht="15">
      <c r="D113" s="12"/>
      <c r="E113" s="22"/>
    </row>
    <row r="114" spans="4:5" ht="15">
      <c r="D114" s="12"/>
      <c r="E114" s="22"/>
    </row>
    <row r="115" spans="4:5" ht="15">
      <c r="D115" s="12"/>
      <c r="E115" s="22"/>
    </row>
    <row r="116" spans="4:5" ht="15">
      <c r="D116" s="12"/>
      <c r="E116" s="22"/>
    </row>
    <row r="117" spans="4:5" ht="15">
      <c r="D117" s="12"/>
      <c r="E117" s="22"/>
    </row>
    <row r="118" spans="4:5" ht="15">
      <c r="D118" s="12"/>
      <c r="E118" s="22"/>
    </row>
    <row r="119" spans="4:5" ht="15">
      <c r="D119" s="12"/>
      <c r="E119" s="22"/>
    </row>
    <row r="120" spans="4:5" ht="15">
      <c r="D120" s="12"/>
      <c r="E120" s="22"/>
    </row>
    <row r="121" spans="4:5" ht="15">
      <c r="D121" s="12"/>
      <c r="E121" s="22"/>
    </row>
    <row r="122" spans="4:5" ht="15">
      <c r="D122" s="12"/>
      <c r="E122" s="22"/>
    </row>
    <row r="123" spans="4:5" ht="15">
      <c r="D123" s="12"/>
      <c r="E123" s="22"/>
    </row>
    <row r="124" spans="4:5" ht="15">
      <c r="D124" s="12"/>
      <c r="E124" s="22"/>
    </row>
    <row r="125" spans="4:5" ht="15">
      <c r="D125" s="12"/>
      <c r="E125" s="22"/>
    </row>
    <row r="126" spans="4:5" ht="15">
      <c r="D126" s="12"/>
      <c r="E126" s="22"/>
    </row>
    <row r="127" spans="4:5" ht="15">
      <c r="D127" s="12"/>
      <c r="E127" s="22"/>
    </row>
    <row r="128" spans="4:5" ht="15">
      <c r="D128" s="12"/>
      <c r="E128" s="22"/>
    </row>
    <row r="129" spans="4:5" ht="15">
      <c r="D129" s="12"/>
      <c r="E129" s="22"/>
    </row>
    <row r="130" spans="4:5" ht="15">
      <c r="D130" s="12"/>
      <c r="E130" s="22"/>
    </row>
  </sheetData>
  <sheetProtection/>
  <mergeCells count="16">
    <mergeCell ref="A14:F14"/>
    <mergeCell ref="A15:F15"/>
    <mergeCell ref="A21:A22"/>
    <mergeCell ref="B21:B22"/>
    <mergeCell ref="D21:D22"/>
    <mergeCell ref="E21:E22"/>
    <mergeCell ref="A16:F16"/>
    <mergeCell ref="A17:F17"/>
    <mergeCell ref="A8:B8"/>
    <mergeCell ref="E8:F8"/>
    <mergeCell ref="A9:B9"/>
    <mergeCell ref="D9:F9"/>
    <mergeCell ref="A10:B10"/>
    <mergeCell ref="D10:F10"/>
    <mergeCell ref="A11:B11"/>
    <mergeCell ref="A12:B12"/>
  </mergeCells>
  <printOptions/>
  <pageMargins left="1.1811023622047245" right="0.3937007874015748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ЕРИЦ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Крупнова Оксана Викторовна</dc:creator>
  <cp:keywords/>
  <dc:description/>
  <cp:lastModifiedBy>user</cp:lastModifiedBy>
  <cp:lastPrinted>2015-03-17T03:55:17Z</cp:lastPrinted>
  <dcterms:created xsi:type="dcterms:W3CDTF">2014-11-26T06:41:23Z</dcterms:created>
  <dcterms:modified xsi:type="dcterms:W3CDTF">2015-03-17T03:55:40Z</dcterms:modified>
  <cp:category/>
  <cp:version/>
  <cp:contentType/>
  <cp:contentStatus/>
</cp:coreProperties>
</file>